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lpea-my.sharepoint.com/personal/amotler_lpea_coop/Documents/Documents/LPEA_Alex_Motler/WIDGITS/"/>
    </mc:Choice>
  </mc:AlternateContent>
  <xr:revisionPtr revIDLastSave="0" documentId="14_{19BF72FB-E0CD-40B0-816C-8195A18B42E1}" xr6:coauthVersionLast="47" xr6:coauthVersionMax="47" xr10:uidLastSave="{00000000-0000-0000-0000-000000000000}"/>
  <bookViews>
    <workbookView xWindow="-120" yWindow="-120" windowWidth="29040" windowHeight="15840" firstSheet="1" activeTab="1" xr2:uid="{F97AEEC4-0875-4395-88E2-F56C2643A887}"/>
  </bookViews>
  <sheets>
    <sheet name="ROI Tool" sheetId="5" state="hidden" r:id="rId1"/>
    <sheet name="New Construction-Sizing editing" sheetId="7" r:id="rId2"/>
    <sheet name="Background Info"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B30" i="6"/>
  <c r="B29" i="6"/>
  <c r="B28" i="6"/>
  <c r="B27" i="6"/>
  <c r="B26" i="6"/>
  <c r="B25" i="6"/>
  <c r="B24" i="6"/>
  <c r="B23" i="6"/>
  <c r="C30" i="6"/>
  <c r="C29" i="6"/>
  <c r="C28" i="6"/>
  <c r="C27" i="6"/>
  <c r="C26" i="6"/>
  <c r="C25" i="6"/>
  <c r="C24" i="6"/>
  <c r="C23" i="6"/>
  <c r="C22" i="6"/>
  <c r="B7" i="6"/>
  <c r="B6" i="6"/>
  <c r="B5" i="6"/>
  <c r="B4" i="6"/>
  <c r="B11" i="6" l="1"/>
  <c r="B9" i="6"/>
  <c r="H30" i="6"/>
  <c r="F30" i="6"/>
  <c r="I29" i="6"/>
  <c r="H29" i="6"/>
  <c r="F29" i="6"/>
  <c r="H28" i="6"/>
  <c r="F28" i="6"/>
  <c r="I27" i="6"/>
  <c r="H27" i="6"/>
  <c r="F27" i="6"/>
  <c r="H26" i="6"/>
  <c r="F26" i="6"/>
  <c r="H25" i="6"/>
  <c r="F25" i="6"/>
  <c r="H24" i="6"/>
  <c r="F24" i="6"/>
  <c r="H23" i="6"/>
  <c r="F23" i="6"/>
  <c r="H22" i="6"/>
  <c r="F22" i="6"/>
  <c r="I16" i="6"/>
  <c r="I30" i="6" s="1"/>
  <c r="G16" i="6"/>
  <c r="G30" i="6" s="1"/>
  <c r="I15" i="6"/>
  <c r="G15" i="6"/>
  <c r="G29" i="6" s="1"/>
  <c r="I14" i="6"/>
  <c r="I28" i="6" s="1"/>
  <c r="G14" i="6"/>
  <c r="G28" i="6" s="1"/>
  <c r="I13" i="6"/>
  <c r="G13" i="6"/>
  <c r="G27" i="6" s="1"/>
  <c r="I12" i="6"/>
  <c r="I26" i="6" s="1"/>
  <c r="G12" i="6"/>
  <c r="G26" i="6" s="1"/>
  <c r="I11" i="6"/>
  <c r="I25" i="6" s="1"/>
  <c r="G11" i="6"/>
  <c r="G25" i="6" s="1"/>
  <c r="I10" i="6"/>
  <c r="I24" i="6" s="1"/>
  <c r="G10" i="6"/>
  <c r="G24" i="6" s="1"/>
  <c r="I9" i="6"/>
  <c r="I23" i="6" s="1"/>
  <c r="G9" i="6"/>
  <c r="G23" i="6" s="1"/>
  <c r="I8" i="6"/>
  <c r="I22" i="6" s="1"/>
  <c r="G8" i="6"/>
  <c r="G22" i="6" s="1"/>
  <c r="B14" i="6" l="1"/>
  <c r="H13" i="7" s="1"/>
  <c r="B25" i="5"/>
  <c r="B23" i="5"/>
  <c r="B24" i="5" s="1" a="1"/>
  <c r="B24" i="5" s="1"/>
  <c r="B17" i="5"/>
  <c r="B18" i="5"/>
  <c r="B16" i="5"/>
  <c r="B10" i="5"/>
  <c r="B11" i="5" s="1"/>
  <c r="B26" i="5" l="1"/>
  <c r="B29" i="5" s="1"/>
  <c r="B30" i="5" s="1"/>
  <c r="B19" i="5" a="1"/>
  <c r="B19" i="5" s="1"/>
  <c r="B20" i="5" s="1"/>
  <c r="E38" i="6" l="1"/>
  <c r="B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tc={20DBFD3C-499D-4818-AC46-C744819C9BB7}</author>
    <author>tc={1683CB8B-5C4E-4B51-94F4-2AA72F804BA1}</author>
    <author>tc={83CEF973-D999-4283-9387-76D5410DF68C}</author>
  </authors>
  <commentList>
    <comment ref="A2" authorId="0" shapeId="0" xr:uid="{20DBFD3C-499D-4818-AC46-C744819C9BB7}">
      <text>
        <t>[Threaded comment]
Your version of Excel allows you to read this threaded comment; however, any edits to it will get removed if the file is opened in a newer version of Excel. Learn more: https://go.microsoft.com/fwlink/?linkid=870924
Comment:
    Do we want separate experiences for financed vs. upfront cash purchases?</t>
      </text>
    </comment>
    <comment ref="G8" authorId="1" shapeId="0" xr:uid="{1683CB8B-5C4E-4B51-94F4-2AA72F804BA1}">
      <text>
        <t>[Threaded comment]
Your version of Excel allows you to read this threaded comment; however, any edits to it will get removed if the file is opened in a newer version of Excel. Learn more: https://go.microsoft.com/fwlink/?linkid=870924
Comment:
    Should this be a user input or coded in?</t>
      </text>
    </comment>
    <comment ref="A15" authorId="2" shapeId="0" xr:uid="{83CEF973-D999-4283-9387-76D5410DF68C}">
      <text>
        <t>[Threaded comment]
Your version of Excel allows you to read this threaded comment; however, any edits to it will get removed if the file is opened in a newer version of Excel. Learn more: https://go.microsoft.com/fwlink/?linkid=870924
Comment:
    Could also produce typical monthly bill without solar for comparison.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tc={D337AEC5-FF89-487F-AAED-AC5611F89613}</author>
  </authors>
  <commentList>
    <comment ref="D18" authorId="0" shapeId="0" xr:uid="{D337AEC5-FF89-487F-AAED-AC5611F89613}">
      <text>
        <t>[Threaded comment]
Your version of Excel allows you to read this threaded comment; however, any edits to it will get removed if the file is opened in a newer version of Excel. Learn more: https://go.microsoft.com/fwlink/?linkid=870924
Comment:
    Add in a link to the LPEA Solar Sizing Tool calc?
Reply:
    Great idea, yes if possible. May be a question for Whitney</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<sst xmlns="http://schemas.openxmlformats.org/spreadsheetml/2006/main" count="116" uniqueCount="93">
  <si>
    <t>ROI Tools</t>
  </si>
  <si>
    <t>User Inputs</t>
  </si>
  <si>
    <t>Model Inputs</t>
  </si>
  <si>
    <t>Tax Districts</t>
  </si>
  <si>
    <t>Tax Rate</t>
  </si>
  <si>
    <t>Notes</t>
  </si>
  <si>
    <t>Historical/Anticipated Annual Energy Usage (kWH)</t>
  </si>
  <si>
    <t>Energy Usage Rate ($/kWh)</t>
  </si>
  <si>
    <t>Archuleta County</t>
  </si>
  <si>
    <t>Anticipated Annual Energy Production from Solar PV System (kWh)</t>
  </si>
  <si>
    <t>Peak Power Charge ($/kW)</t>
  </si>
  <si>
    <t>City of Durango</t>
  </si>
  <si>
    <t>Includes La Plata County tax of 2% and City of Durango at 3.5%</t>
  </si>
  <si>
    <t>Base Charge ($/month)</t>
  </si>
  <si>
    <t>Hinsdale County</t>
  </si>
  <si>
    <t>Cost of System Before Tax Credits, Incentives or Rebates</t>
  </si>
  <si>
    <t>Monthly Usage to Peak Power Factor</t>
  </si>
  <si>
    <t>La Plata County</t>
  </si>
  <si>
    <t>Where in LPEA's Service Territory do you live?</t>
  </si>
  <si>
    <t>LPEA Wholesale Electricity Cost</t>
  </si>
  <si>
    <t>Mineral County</t>
  </si>
  <si>
    <t>Anticipated Annual Escalation in Electricity Rates</t>
  </si>
  <si>
    <t>San Juan County</t>
  </si>
  <si>
    <t>Outputs</t>
  </si>
  <si>
    <t>Town of Bayfield</t>
  </si>
  <si>
    <t>Federal Tax Credit *Verify eligibility with tax professional</t>
  </si>
  <si>
    <t>Town of Pagosa Springs</t>
  </si>
  <si>
    <t>Initial system cost</t>
  </si>
  <si>
    <t>Typical Monthly Bill with Solar</t>
  </si>
  <si>
    <t>Base Charge</t>
  </si>
  <si>
    <t>Energy Usage</t>
  </si>
  <si>
    <t>Peak Power Charge</t>
  </si>
  <si>
    <t>Taxes &amp; Fees</t>
  </si>
  <si>
    <t>Total</t>
  </si>
  <si>
    <t>Annual Energy Usage Savings</t>
  </si>
  <si>
    <t>Annual Taxes &amp; Fees Savings</t>
  </si>
  <si>
    <t>Annual Compensation for Excess Production</t>
  </si>
  <si>
    <t>Total Annual Savings</t>
  </si>
  <si>
    <t>Break-even Payback Period (years)</t>
  </si>
  <si>
    <t>25 year Lifetime Savings</t>
  </si>
  <si>
    <t>25 year Return on Investment (%)</t>
  </si>
  <si>
    <t xml:space="preserve">LPEA New Home Electricity Usage Estimating Tool  </t>
  </si>
  <si>
    <t>Instructions: Fill in the highlighted yellow boxes with your information. The blue highlighted boxes are your estimated annual electricity usage. Click on the yellow boxes to see an explanation of the required information.</t>
  </si>
  <si>
    <t>Member Supplied New Home Information</t>
  </si>
  <si>
    <t>100% of Estimated Annual Electricity Usage</t>
  </si>
  <si>
    <t>Size of home (sq ft)</t>
  </si>
  <si>
    <t>Primary heating: "electricity" or "gas"</t>
  </si>
  <si>
    <t>Electricity</t>
  </si>
  <si>
    <t xml:space="preserve">Other Significant Loads </t>
  </si>
  <si>
    <t>EV chargers for electric vehicles</t>
  </si>
  <si>
    <t xml:space="preserve">Water Heater </t>
  </si>
  <si>
    <t>Heat pump</t>
  </si>
  <si>
    <t>Hot tub</t>
  </si>
  <si>
    <t>Yes</t>
  </si>
  <si>
    <t>Other significant loads (kWh/yr)</t>
  </si>
  <si>
    <t xml:space="preserve">Please reference the LPEA Solar Sizing Tool to find out what size PV array would offset your energy use! </t>
  </si>
  <si>
    <r>
      <t>Disclaimer Statement:</t>
    </r>
    <r>
      <rPr>
        <sz val="11"/>
        <color rgb="FF000000"/>
        <rFont val="Calibri"/>
        <family val="2"/>
        <scheme val="minor"/>
      </rPr>
      <t xml:space="preserve"> The information contained herein is provided as a public service with the understanding that the La Plata Electric Association makes no warranties either expressed or implied, concerning the accuracy, completeness, reliability, or suitability of the information. Nor does the La Plata Electric Association warrant that the use of this information is free of any claims of copyright infringement. </t>
    </r>
  </si>
  <si>
    <t xml:space="preserve">Gas home =Jakes/Cliffs Orignal Data </t>
  </si>
  <si>
    <t xml:space="preserve"> comparison= Jakes/Cliffs data but ETS "fasle", supposedly all gas homes </t>
  </si>
  <si>
    <t xml:space="preserve">Excel= model for Colorado specificly </t>
  </si>
  <si>
    <t xml:space="preserve">Gas Average= all these avergages added up </t>
  </si>
  <si>
    <t>Background information for Calculations</t>
  </si>
  <si>
    <t>Calculated Other (kWh/year)</t>
  </si>
  <si>
    <t xml:space="preserve"> </t>
  </si>
  <si>
    <t>Drop Down Lists</t>
  </si>
  <si>
    <t>Type of Heating</t>
  </si>
  <si>
    <t>sq ft</t>
  </si>
  <si>
    <t>Electric Home</t>
  </si>
  <si>
    <t>Gas Home</t>
  </si>
  <si>
    <t>500-999</t>
  </si>
  <si>
    <t>Gas</t>
  </si>
  <si>
    <t>Total (Significant Load)</t>
  </si>
  <si>
    <t>1000-1499</t>
  </si>
  <si>
    <t>Toggle</t>
  </si>
  <si>
    <t>1500-1999</t>
  </si>
  <si>
    <t>No</t>
  </si>
  <si>
    <t>"Chosen" SQ FT CALC</t>
  </si>
  <si>
    <t>2000-2499</t>
  </si>
  <si>
    <t>2500-2999</t>
  </si>
  <si>
    <t xml:space="preserve">EV Chargers </t>
  </si>
  <si>
    <t>3000-3499</t>
  </si>
  <si>
    <t>None</t>
  </si>
  <si>
    <t>Total OVERALL (PV System)</t>
  </si>
  <si>
    <t>3500-3999</t>
  </si>
  <si>
    <t>4000-4499</t>
  </si>
  <si>
    <t>Notes for LPEA: Lowest sq ft we calcualted for was 500, anything below 500 is clumped into the 500-999 group.</t>
  </si>
  <si>
    <t>&gt;4500</t>
  </si>
  <si>
    <t>Water Heater</t>
  </si>
  <si>
    <t>kWh/year</t>
  </si>
  <si>
    <t xml:space="preserve">Electric resistance </t>
  </si>
  <si>
    <t>kWh/month for Renewable DB</t>
  </si>
  <si>
    <t xml:space="preserve">Output </t>
  </si>
  <si>
    <t>kWh/month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</si>
</sst>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b/>
      <i/>
      <sz val="11"/>
      <color theme="1"/>
      <name val="Calibri"/>
      <family val="2"/>
      <scheme val="minor"/>
    </font>
    <font>
      <sz val="11"/>
      <color rgb="FFFF0000"/>
      <name val="Calibri"/>
      <family val="2"/>
      <scheme val="minor"/>
    </font>
    <font>
      <sz val="11"/>
      <color rgb="FF000000"/>
      <name val="Calibri"/>
      <family val="2"/>
      <scheme val="minor"/>
    </font>
    <font>
      <b/>
      <sz val="22"/>
      <color theme="1"/>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sz val="17"/>
      <color theme="1"/>
      <name val="Calibri"/>
      <family val="2"/>
      <scheme val="minor"/>
    </font>
    <font>
      <b/>
      <sz val="26"/>
      <color rgb="FF000000"/>
      <name val="Calibri"/>
      <scheme val="minor"/>
    </font>
    <font>
      <b/>
      <sz val="26"/>
      <color theme="1"/>
      <name val="Calibri"/>
      <family val="2"/>
      <scheme val="minor"/>
    </font>
    <font>
      <sz val="26"/>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FFFFFF"/>
        <bgColor rgb="FF000000"/>
      </patternFill>
    </fill>
    <fill>
      <patternFill patternType="solid">
        <fgColor theme="0"/>
        <bgColor indexed="64"/>
      </patternFill>
    </fill>
    <fill>
      <patternFill patternType="solid">
        <fgColor rgb="FF00B0F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65">
    <xf numFmtId="0" fontId="0" fillId="0" borderId="0" xfId="0"/>
    <xf numFmtId="0" fontId="0" fillId="2" borderId="1" xfId="0" applyFill="1" applyBorder="1"/>
    <xf numFmtId="0" fontId="1" fillId="0" borderId="0" xfId="0" applyFont="1"/>
    <xf numFmtId="0" fontId="0" fillId="0" borderId="0" xfId="0" applyAlignment="1">
      <alignment wrapText="1"/>
    </xf>
    <xf numFmtId="0" fontId="0" fillId="2" borderId="5" xfId="0" applyFill="1" applyBorder="1" applyAlignment="1">
      <alignment horizontal="center"/>
    </xf>
    <xf numFmtId="0" fontId="0" fillId="2" borderId="7" xfId="0" applyFill="1" applyBorder="1" applyAlignment="1">
      <alignment horizontal="center"/>
    </xf>
    <xf numFmtId="0" fontId="0" fillId="0" borderId="2" xfId="0" applyBorder="1" applyAlignment="1">
      <alignment wrapText="1"/>
    </xf>
    <xf numFmtId="0" fontId="0" fillId="0" borderId="1" xfId="0" applyBorder="1" applyAlignment="1">
      <alignment wrapText="1"/>
    </xf>
    <xf numFmtId="0" fontId="0" fillId="4" borderId="8" xfId="0" applyFill="1" applyBorder="1"/>
    <xf numFmtId="0" fontId="0" fillId="0" borderId="8" xfId="0" applyBorder="1"/>
    <xf numFmtId="44" fontId="0" fillId="0" borderId="0" xfId="1" applyFont="1"/>
    <xf numFmtId="9" fontId="0" fillId="0" borderId="0" xfId="2" applyFont="1"/>
    <xf numFmtId="44" fontId="0" fillId="0" borderId="0" xfId="0" applyNumberFormat="1"/>
    <xf numFmtId="44" fontId="0" fillId="2" borderId="1" xfId="1" applyFont="1" applyFill="1" applyBorder="1"/>
    <xf numFmtId="2" fontId="0" fillId="0" borderId="0" xfId="1" applyNumberFormat="1" applyFont="1"/>
    <xf numFmtId="0" fontId="0" fillId="3" borderId="13" xfId="0" applyFill="1" applyBorder="1" applyAlignment="1">
      <alignment horizontal="center"/>
    </xf>
    <xf numFmtId="2" fontId="0" fillId="3" borderId="13" xfId="0" applyNumberFormat="1" applyFill="1" applyBorder="1" applyAlignment="1">
      <alignment horizontal="center"/>
    </xf>
    <xf numFmtId="164" fontId="0" fillId="3" borderId="13" xfId="0" applyNumberFormat="1" applyFill="1" applyBorder="1" applyAlignment="1">
      <alignment horizontal="center"/>
    </xf>
    <xf numFmtId="0" fontId="1" fillId="3" borderId="11" xfId="0" applyFont="1" applyFill="1" applyBorder="1" applyAlignment="1">
      <alignment horizontal="center" wrapText="1"/>
    </xf>
    <xf numFmtId="0" fontId="0" fillId="3" borderId="18" xfId="0" applyFill="1" applyBorder="1"/>
    <xf numFmtId="0" fontId="1" fillId="3" borderId="18" xfId="0" applyFont="1" applyFill="1" applyBorder="1"/>
    <xf numFmtId="0" fontId="0" fillId="3" borderId="11" xfId="0" applyFill="1" applyBorder="1"/>
    <xf numFmtId="0" fontId="0" fillId="3" borderId="12" xfId="0" applyFill="1" applyBorder="1"/>
    <xf numFmtId="0" fontId="0" fillId="3" borderId="9" xfId="0" applyFill="1" applyBorder="1"/>
    <xf numFmtId="0" fontId="0" fillId="3" borderId="19" xfId="0" applyFill="1" applyBorder="1"/>
    <xf numFmtId="0" fontId="1" fillId="3" borderId="1" xfId="0" applyFont="1" applyFill="1" applyBorder="1"/>
    <xf numFmtId="0" fontId="0" fillId="3" borderId="14" xfId="0" applyFill="1" applyBorder="1"/>
    <xf numFmtId="0" fontId="0" fillId="3" borderId="20" xfId="0" applyFill="1" applyBorder="1"/>
    <xf numFmtId="0" fontId="0" fillId="3" borderId="26" xfId="0" applyFill="1" applyBorder="1"/>
    <xf numFmtId="0" fontId="1" fillId="3" borderId="23" xfId="0" applyFont="1" applyFill="1" applyBorder="1" applyAlignment="1">
      <alignment horizontal="center" wrapText="1"/>
    </xf>
    <xf numFmtId="0" fontId="0" fillId="3" borderId="22" xfId="0" applyFill="1" applyBorder="1"/>
    <xf numFmtId="0" fontId="1" fillId="3" borderId="27" xfId="0" applyFont="1" applyFill="1" applyBorder="1"/>
    <xf numFmtId="0" fontId="0" fillId="3" borderId="21" xfId="0" applyFill="1" applyBorder="1"/>
    <xf numFmtId="0" fontId="1" fillId="3" borderId="27" xfId="0" applyFont="1" applyFill="1" applyBorder="1" applyAlignment="1">
      <alignment horizontal="center"/>
    </xf>
    <xf numFmtId="164" fontId="0" fillId="3" borderId="21" xfId="0" applyNumberFormat="1" applyFill="1" applyBorder="1"/>
    <xf numFmtId="0" fontId="1" fillId="3" borderId="2" xfId="0" applyFont="1" applyFill="1" applyBorder="1"/>
    <xf numFmtId="164" fontId="0" fillId="3" borderId="3" xfId="0" applyNumberFormat="1" applyFill="1" applyBorder="1"/>
    <xf numFmtId="0" fontId="0" fillId="3" borderId="0" xfId="0" applyFill="1"/>
    <xf numFmtId="0" fontId="1" fillId="3" borderId="0" xfId="0" applyFont="1" applyFill="1" applyAlignment="1">
      <alignment horizontal="center"/>
    </xf>
    <xf numFmtId="0" fontId="0" fillId="3" borderId="0" xfId="0" applyFill="1" applyAlignment="1">
      <alignment horizontal="center"/>
    </xf>
    <xf numFmtId="9" fontId="0" fillId="3" borderId="0" xfId="0" applyNumberFormat="1" applyFill="1" applyAlignment="1">
      <alignment horizontal="center"/>
    </xf>
    <xf numFmtId="2" fontId="0" fillId="3" borderId="0" xfId="0" applyNumberFormat="1" applyFill="1"/>
    <xf numFmtId="0" fontId="0" fillId="0" borderId="0" xfId="0" applyAlignment="1">
      <alignment horizontal="center"/>
    </xf>
    <xf numFmtId="164" fontId="0" fillId="3" borderId="0" xfId="0" applyNumberFormat="1" applyFill="1"/>
    <xf numFmtId="0" fontId="0" fillId="3" borderId="11" xfId="0" applyFill="1" applyBorder="1" applyAlignment="1">
      <alignment vertical="top" wrapText="1"/>
    </xf>
    <xf numFmtId="0" fontId="0" fillId="3" borderId="0" xfId="0" applyFill="1" applyAlignment="1">
      <alignment vertical="top" wrapText="1"/>
    </xf>
    <xf numFmtId="9" fontId="0" fillId="0" borderId="0" xfId="0" applyNumberFormat="1" applyAlignment="1">
      <alignment horizontal="center"/>
    </xf>
    <xf numFmtId="164" fontId="0" fillId="0" borderId="0" xfId="0" applyNumberFormat="1" applyAlignment="1">
      <alignment horizontal="center"/>
    </xf>
    <xf numFmtId="0" fontId="0" fillId="3" borderId="0" xfId="0" applyFill="1" applyAlignment="1">
      <alignment horizontal="left"/>
    </xf>
    <xf numFmtId="0" fontId="0" fillId="3" borderId="34" xfId="0" applyFill="1" applyBorder="1"/>
    <xf numFmtId="0" fontId="0" fillId="3" borderId="31" xfId="0" applyFill="1" applyBorder="1" applyAlignment="1">
      <alignment horizontal="left"/>
    </xf>
    <xf numFmtId="0" fontId="0" fillId="3" borderId="32" xfId="0" applyFill="1" applyBorder="1" applyAlignment="1">
      <alignment horizontal="left"/>
    </xf>
    <xf numFmtId="0" fontId="1" fillId="0" borderId="0" xfId="0" applyFont="1" applyAlignment="1">
      <alignment horizontal="center" wrapText="1"/>
    </xf>
    <xf numFmtId="0" fontId="0" fillId="5" borderId="15" xfId="0" applyFill="1" applyBorder="1"/>
    <xf numFmtId="0" fontId="0" fillId="5" borderId="16" xfId="0" applyFill="1" applyBorder="1"/>
    <xf numFmtId="0" fontId="0" fillId="5" borderId="11" xfId="0" applyFill="1" applyBorder="1"/>
    <xf numFmtId="0" fontId="1" fillId="5" borderId="0" xfId="0" applyFont="1" applyFill="1" applyAlignment="1">
      <alignment horizontal="center" wrapText="1"/>
    </xf>
    <xf numFmtId="0" fontId="0" fillId="5" borderId="0" xfId="0" applyFill="1" applyAlignment="1">
      <alignment horizontal="center"/>
    </xf>
    <xf numFmtId="0" fontId="0" fillId="5" borderId="17" xfId="0" applyFill="1" applyBorder="1"/>
    <xf numFmtId="0" fontId="0" fillId="5" borderId="18" xfId="0" applyFill="1" applyBorder="1"/>
    <xf numFmtId="0" fontId="1" fillId="5" borderId="18" xfId="0" applyFont="1" applyFill="1" applyBorder="1" applyAlignment="1">
      <alignment horizontal="center" wrapText="1"/>
    </xf>
    <xf numFmtId="0" fontId="0" fillId="5" borderId="18" xfId="0" applyFill="1" applyBorder="1" applyAlignment="1">
      <alignment horizontal="center"/>
    </xf>
    <xf numFmtId="0" fontId="1" fillId="0" borderId="0" xfId="0" applyFont="1" applyAlignment="1">
      <alignment wrapText="1"/>
    </xf>
    <xf numFmtId="0" fontId="5" fillId="6" borderId="0" xfId="0" applyFont="1" applyFill="1" applyAlignment="1">
      <alignment horizontal="center" wrapText="1"/>
    </xf>
    <xf numFmtId="0" fontId="0" fillId="5" borderId="9" xfId="0" applyFill="1" applyBorder="1"/>
    <xf numFmtId="0" fontId="0" fillId="5" borderId="19" xfId="0" applyFill="1" applyBorder="1"/>
    <xf numFmtId="0" fontId="0" fillId="5" borderId="12" xfId="0" applyFill="1" applyBorder="1"/>
    <xf numFmtId="0" fontId="0" fillId="7" borderId="11" xfId="0" applyFill="1" applyBorder="1"/>
    <xf numFmtId="0" fontId="0" fillId="7" borderId="0" xfId="0" applyFill="1"/>
    <xf numFmtId="0" fontId="0" fillId="7" borderId="0" xfId="0" applyFill="1" applyAlignment="1">
      <alignment horizontal="center" vertical="center" wrapText="1"/>
    </xf>
    <xf numFmtId="0" fontId="0" fillId="7" borderId="18" xfId="0" applyFill="1" applyBorder="1" applyAlignment="1">
      <alignment horizontal="center" vertical="center" wrapText="1"/>
    </xf>
    <xf numFmtId="0" fontId="1" fillId="5" borderId="16" xfId="0" applyFont="1" applyFill="1" applyBorder="1" applyAlignment="1">
      <alignment horizontal="center"/>
    </xf>
    <xf numFmtId="0" fontId="0" fillId="2" borderId="45" xfId="0" applyFill="1" applyBorder="1" applyAlignment="1">
      <alignment horizontal="center"/>
    </xf>
    <xf numFmtId="0" fontId="0" fillId="7" borderId="18" xfId="0" applyFill="1" applyBorder="1"/>
    <xf numFmtId="0" fontId="0" fillId="7" borderId="12" xfId="0" applyFill="1" applyBorder="1"/>
    <xf numFmtId="0" fontId="0" fillId="5" borderId="9" xfId="0" applyFill="1" applyBorder="1" applyAlignment="1">
      <alignment horizontal="center"/>
    </xf>
    <xf numFmtId="0" fontId="0" fillId="7" borderId="9" xfId="0" applyFill="1" applyBorder="1"/>
    <xf numFmtId="0" fontId="11" fillId="7" borderId="0" xfId="0" applyFont="1" applyFill="1" applyAlignment="1">
      <alignment horizontal="center"/>
    </xf>
    <xf numFmtId="0" fontId="11" fillId="7" borderId="9" xfId="0" applyFont="1" applyFill="1" applyBorder="1" applyAlignment="1">
      <alignment horizontal="center"/>
    </xf>
    <xf numFmtId="0" fontId="0" fillId="7" borderId="19" xfId="0" applyFill="1" applyBorder="1"/>
    <xf numFmtId="0" fontId="5" fillId="6" borderId="36" xfId="0" applyFont="1" applyFill="1" applyBorder="1" applyAlignment="1">
      <alignment horizontal="center" wrapText="1"/>
    </xf>
    <xf numFmtId="0" fontId="5" fillId="6" borderId="37" xfId="0" applyFont="1" applyFill="1" applyBorder="1" applyAlignment="1">
      <alignment horizontal="center" wrapText="1"/>
    </xf>
    <xf numFmtId="0" fontId="5" fillId="6" borderId="38" xfId="0" applyFont="1" applyFill="1" applyBorder="1" applyAlignment="1">
      <alignment horizontal="center" wrapText="1"/>
    </xf>
    <xf numFmtId="0" fontId="5" fillId="6" borderId="35" xfId="0" applyFont="1" applyFill="1" applyBorder="1" applyAlignment="1">
      <alignment horizontal="center" wrapText="1"/>
    </xf>
    <xf numFmtId="0" fontId="5" fillId="6" borderId="0" xfId="0" applyFont="1" applyFill="1" applyAlignment="1">
      <alignment horizontal="center" wrapText="1"/>
    </xf>
    <xf numFmtId="0" fontId="5" fillId="6" borderId="39" xfId="0" applyFont="1" applyFill="1" applyBorder="1" applyAlignment="1">
      <alignment horizontal="center" wrapText="1"/>
    </xf>
    <xf numFmtId="0" fontId="5" fillId="6" borderId="40" xfId="0" applyFont="1" applyFill="1" applyBorder="1" applyAlignment="1">
      <alignment horizontal="center" wrapText="1"/>
    </xf>
    <xf numFmtId="0" fontId="5" fillId="6" borderId="41" xfId="0" applyFont="1" applyFill="1" applyBorder="1" applyAlignment="1">
      <alignment horizontal="center" wrapText="1"/>
    </xf>
    <xf numFmtId="0" fontId="5" fillId="6" borderId="42" xfId="0" applyFont="1" applyFill="1" applyBorder="1" applyAlignment="1">
      <alignment horizontal="center" wrapText="1"/>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2"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8"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 xfId="0" applyFont="1" applyBorder="1" applyAlignment="1">
      <alignment horizontal="center"/>
    </xf>
    <xf numFmtId="0" fontId="1" fillId="0" borderId="10" xfId="0" applyFont="1" applyBorder="1" applyAlignment="1">
      <alignment horizontal="center"/>
    </xf>
    <xf numFmtId="0" fontId="1" fillId="0" borderId="3" xfId="0" applyFont="1" applyBorder="1" applyAlignment="1">
      <alignment horizontal="center"/>
    </xf>
    <xf numFmtId="0" fontId="1" fillId="0" borderId="18" xfId="0" applyFont="1" applyBorder="1" applyAlignment="1">
      <alignment horizontal="center"/>
    </xf>
    <xf numFmtId="0" fontId="0" fillId="7" borderId="11" xfId="0" applyFill="1" applyBorder="1" applyAlignment="1">
      <alignment horizontal="center"/>
    </xf>
    <xf numFmtId="0" fontId="0" fillId="7" borderId="0" xfId="0" applyFill="1" applyAlignment="1">
      <alignment horizontal="center"/>
    </xf>
    <xf numFmtId="0" fontId="0" fillId="0" borderId="4"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0" borderId="44" xfId="0" applyBorder="1" applyAlignment="1">
      <alignment horizontal="left" vertical="center"/>
    </xf>
    <xf numFmtId="0" fontId="0" fillId="0" borderId="33" xfId="0" applyBorder="1" applyAlignment="1">
      <alignment horizontal="left" vertical="center"/>
    </xf>
    <xf numFmtId="0" fontId="0" fillId="0" borderId="43" xfId="0" applyBorder="1" applyAlignment="1">
      <alignment horizontal="left" vertic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8" xfId="0" applyFont="1" applyBorder="1" applyAlignment="1">
      <alignment horizont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2" fontId="3" fillId="5" borderId="11" xfId="0" applyNumberFormat="1" applyFont="1" applyFill="1" applyBorder="1" applyAlignment="1">
      <alignment horizontal="center"/>
    </xf>
    <xf numFmtId="2" fontId="3" fillId="5" borderId="0" xfId="0" applyNumberFormat="1" applyFont="1" applyFill="1" applyAlignment="1">
      <alignment horizontal="center"/>
    </xf>
    <xf numFmtId="2" fontId="3" fillId="5" borderId="18" xfId="0" applyNumberFormat="1" applyFont="1" applyFill="1" applyBorder="1" applyAlignment="1">
      <alignment horizontal="center"/>
    </xf>
    <xf numFmtId="0" fontId="3" fillId="5" borderId="12" xfId="0" applyFont="1" applyFill="1" applyBorder="1" applyAlignment="1">
      <alignment horizontal="center"/>
    </xf>
    <xf numFmtId="0" fontId="3" fillId="5" borderId="9" xfId="0" applyFont="1" applyFill="1" applyBorder="1" applyAlignment="1">
      <alignment horizontal="center"/>
    </xf>
    <xf numFmtId="0" fontId="3" fillId="5" borderId="19" xfId="0" applyFont="1" applyFill="1"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9" xfId="0" applyFont="1" applyFill="1" applyBorder="1" applyAlignment="1">
      <alignment horizontal="center" vertical="center"/>
    </xf>
    <xf numFmtId="0" fontId="1" fillId="3" borderId="16" xfId="0" applyFont="1" applyFill="1" applyBorder="1" applyAlignment="1">
      <alignment horizontal="center"/>
    </xf>
    <xf numFmtId="0" fontId="1" fillId="3" borderId="24" xfId="0" applyFont="1" applyFill="1" applyBorder="1" applyAlignment="1">
      <alignment horizontal="center" wrapText="1"/>
    </xf>
    <xf numFmtId="0" fontId="1" fillId="3" borderId="25" xfId="0" applyFont="1" applyFill="1" applyBorder="1" applyAlignment="1">
      <alignment horizontal="center" wrapText="1"/>
    </xf>
    <xf numFmtId="0" fontId="0" fillId="3" borderId="0" xfId="0" applyFill="1" applyAlignment="1">
      <alignment horizontal="center"/>
    </xf>
    <xf numFmtId="0" fontId="0" fillId="3" borderId="30" xfId="0" applyFill="1" applyBorder="1" applyAlignment="1">
      <alignment horizontal="center" vertical="top" wrapText="1"/>
    </xf>
    <xf numFmtId="0" fontId="0" fillId="3" borderId="28" xfId="0" applyFill="1" applyBorder="1" applyAlignment="1">
      <alignment horizontal="center" vertical="top" wrapText="1"/>
    </xf>
    <xf numFmtId="0" fontId="0" fillId="3" borderId="29" xfId="0" applyFill="1" applyBorder="1" applyAlignment="1">
      <alignment horizontal="center" vertical="top" wrapText="1"/>
    </xf>
    <xf numFmtId="0" fontId="0" fillId="3" borderId="11" xfId="0" applyFill="1" applyBorder="1" applyAlignment="1">
      <alignment horizontal="center" vertical="top" wrapText="1"/>
    </xf>
    <xf numFmtId="0" fontId="0" fillId="3" borderId="0" xfId="0" applyFill="1" applyAlignment="1">
      <alignment horizontal="center" vertical="top" wrapText="1"/>
    </xf>
    <xf numFmtId="0" fontId="0" fillId="3" borderId="26" xfId="0" applyFill="1" applyBorder="1" applyAlignment="1">
      <alignment horizontal="center" vertical="top" wrapText="1"/>
    </xf>
    <xf numFmtId="0" fontId="0" fillId="3" borderId="23" xfId="0" applyFill="1" applyBorder="1" applyAlignment="1">
      <alignment horizontal="center" vertical="top" wrapText="1"/>
    </xf>
    <xf numFmtId="0" fontId="0" fillId="3" borderId="20" xfId="0" applyFill="1" applyBorder="1" applyAlignment="1">
      <alignment horizontal="center" vertical="top" wrapText="1"/>
    </xf>
    <xf numFmtId="0" fontId="0" fillId="3" borderId="22" xfId="0" applyFill="1" applyBorder="1" applyAlignment="1">
      <alignment horizontal="center" vertical="top"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1" xfId="0" applyFont="1" applyBorder="1" applyAlignment="1">
      <alignment horizontal="center" wrapText="1"/>
    </xf>
    <xf numFmtId="0" fontId="13" fillId="0" borderId="0" xfId="0" applyFont="1" applyBorder="1" applyAlignment="1">
      <alignment horizontal="center" wrapText="1"/>
    </xf>
    <xf numFmtId="0" fontId="13" fillId="0" borderId="18"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wrapText="1"/>
    </xf>
    <xf numFmtId="0" fontId="13" fillId="0" borderId="19" xfId="0" applyFont="1" applyBorder="1" applyAlignment="1">
      <alignment horizontal="center" wrapText="1"/>
    </xf>
    <xf numFmtId="3" fontId="14" fillId="8" borderId="15" xfId="0" applyNumberFormat="1" applyFont="1" applyFill="1" applyBorder="1" applyAlignment="1">
      <alignment horizontal="center" vertical="center"/>
    </xf>
    <xf numFmtId="3" fontId="14" fillId="8" borderId="16" xfId="0" applyNumberFormat="1" applyFont="1" applyFill="1" applyBorder="1" applyAlignment="1">
      <alignment horizontal="center" vertical="center"/>
    </xf>
    <xf numFmtId="3" fontId="14" fillId="8" borderId="17" xfId="0" applyNumberFormat="1" applyFont="1" applyFill="1" applyBorder="1" applyAlignment="1">
      <alignment horizontal="center" vertical="center"/>
    </xf>
    <xf numFmtId="3" fontId="14" fillId="8" borderId="11" xfId="0" applyNumberFormat="1" applyFont="1" applyFill="1" applyBorder="1" applyAlignment="1">
      <alignment horizontal="center" vertical="center"/>
    </xf>
    <xf numFmtId="3" fontId="14" fillId="8" borderId="0" xfId="0" applyNumberFormat="1" applyFont="1" applyFill="1" applyBorder="1" applyAlignment="1">
      <alignment horizontal="center" vertical="center"/>
    </xf>
    <xf numFmtId="3" fontId="14" fillId="8" borderId="18" xfId="0" applyNumberFormat="1" applyFont="1" applyFill="1" applyBorder="1" applyAlignment="1">
      <alignment horizontal="center" vertical="center"/>
    </xf>
    <xf numFmtId="3" fontId="14" fillId="8" borderId="12" xfId="0" applyNumberFormat="1" applyFont="1" applyFill="1" applyBorder="1" applyAlignment="1">
      <alignment horizontal="center" vertical="center"/>
    </xf>
    <xf numFmtId="3" fontId="14" fillId="8" borderId="9" xfId="0" applyNumberFormat="1" applyFont="1" applyFill="1" applyBorder="1" applyAlignment="1">
      <alignment horizontal="center" vertical="center"/>
    </xf>
    <xf numFmtId="3" fontId="14" fillId="8" borderId="19" xfId="0" applyNumberFormat="1" applyFont="1" applyFill="1" applyBorder="1" applyAlignment="1">
      <alignment horizontal="center" vertical="center"/>
    </xf>
  </cellXfs>
  <cellStyles count="3">
    <cellStyle name="Currency" xfId="1" builtinId="4"/>
    <cellStyle name="Normal" xfId="0" builtinId="0"/>
    <cellStyle name="Percent" xfId="2" builtinId="5"/>
  </cellStyles>
  <dxfs count="15">
    <dxf>
      <fill>
        <patternFill patternType="solid">
          <fgColor indexed="64"/>
          <bgColor theme="8" tint="0.7999816888943144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left" vertical="bottom" textRotation="0" wrapText="0" indent="0" justifyLastLine="0" shrinkToFit="0" readingOrder="0"/>
    </dxf>
    <dxf>
      <border>
        <bottom style="thin">
          <color indexed="64"/>
        </bottom>
      </border>
    </dxf>
    <dxf>
      <fill>
        <patternFill patternType="solid">
          <fgColor indexed="64"/>
          <bgColor theme="8" tint="0.79998168889431442"/>
        </patternFill>
      </fill>
    </dxf>
    <dxf>
      <fill>
        <patternFill patternType="solid">
          <fgColor indexed="64"/>
          <bgColor theme="8" tint="0.79998168889431442"/>
        </patternFill>
      </fill>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border>
        <bottom style="thin">
          <color indexed="64"/>
        </bottom>
      </border>
    </dxf>
    <dxf>
      <fill>
        <patternFill patternType="solid">
          <fgColor indexed="64"/>
          <bgColor theme="8" tint="0.79998168889431442"/>
        </patternFill>
      </fill>
    </dxf>
    <dxf>
      <fill>
        <patternFill patternType="solid">
          <fgColor indexed="64"/>
          <bgColor theme="8" tint="0.79998168889431442"/>
        </patternFill>
      </fill>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dxf>
    <dxf>
      <border>
        <bottom style="thin">
          <color indexed="64"/>
        </bottom>
      </border>
    </dxf>
    <dxf>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1270448</xdr:colOff>
      <xdr:row>2</xdr:row>
      <xdr:rowOff>45242</xdr:rowOff>
    </xdr:from>
    <xdr:to>
      <xdr:col>10</xdr:col>
      <xdr:colOff>188119</xdr:colOff>
      <xdr:row>4</xdr:row>
      <xdr:rowOff>154781</xdr:rowOff>
    </xdr:to>
    <xdr:pic>
      <xdr:nvPicPr>
        <xdr:cNvPr id="3" name="Picture 2">
          <a:extLst>
            <a:ext uri="{FF2B5EF4-FFF2-40B4-BE49-F238E27FC236}">
              <a16:creationId xmlns:a16="http://schemas.microsoft.com/office/drawing/2014/main" id="{C001B2D5-5723-422C-88E5-5DF3DD8D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7229" y="438148"/>
          <a:ext cx="1370359" cy="490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57786</xdr:colOff>
      <xdr:row>2</xdr:row>
      <xdr:rowOff>42860</xdr:rowOff>
    </xdr:from>
    <xdr:to>
      <xdr:col>4</xdr:col>
      <xdr:colOff>1107281</xdr:colOff>
      <xdr:row>4</xdr:row>
      <xdr:rowOff>178188</xdr:rowOff>
    </xdr:to>
    <xdr:pic>
      <xdr:nvPicPr>
        <xdr:cNvPr id="4" name="Picture 3">
          <a:extLst>
            <a:ext uri="{FF2B5EF4-FFF2-40B4-BE49-F238E27FC236}">
              <a16:creationId xmlns:a16="http://schemas.microsoft.com/office/drawing/2014/main" id="{B1D8F5BA-6EE0-4ECF-9A37-9FC320AD0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286" y="435766"/>
          <a:ext cx="1442401" cy="516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teve Smith" id="{491827AB-A7A5-4540-8ADA-5CCE73F09BDE}" userId="S::ssmith@lpea.coop::b99b1850-8840-462d-b105-e6f181838b73" providerId="AD"/>
  <person displayName="Alex Motler" id="{FA2AD576-B7E5-4568-B2CA-2326DDBC2667}" userId="S::amotler@lpea.coop::483f9128-9353-4b94-9466-5a88ddc3f2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E02446-2069-4CD9-BEB1-5ECC38BD1748}" name="Table4" displayName="Table4" ref="M2:O10" totalsRowShown="0">
  <autoFilter ref="M2:O10" xr:uid="{05E02446-2069-4CD9-BEB1-5ECC38BD1748}"/>
  <tableColumns count="3">
    <tableColumn id="1" xr3:uid="{F4B6FF30-EB05-44BE-8B41-DE43A37B0AA0}" name="Tax Districts"/>
    <tableColumn id="2" xr3:uid="{AA84BACB-9F22-4805-BC41-B8A09CCB7848}" name="Tax Rate"/>
    <tableColumn id="3" xr3:uid="{8ED0893E-33DC-46A3-ADBE-991522EAAD42}" name="No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0E6007-5C47-405A-AA0B-C168FCFB5DD6}" name="Table1" displayName="Table1" ref="K6:K8" totalsRowShown="0" headerRowDxfId="14" dataDxfId="12" headerRowBorderDxfId="13" tableBorderDxfId="11">
  <autoFilter ref="K6:K8" xr:uid="{FD0E6007-5C47-405A-AA0B-C168FCFB5DD6}"/>
  <tableColumns count="1">
    <tableColumn id="1" xr3:uid="{84A19D80-256B-4071-AA9B-42920654D5C1}" name="Type of Heating"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68466E-34C8-4784-8BFD-A50E976CAE79}" name="Table2" displayName="Table2" ref="K9:K11" totalsRowShown="0" headerRowDxfId="9" dataDxfId="7" headerRowBorderDxfId="8" tableBorderDxfId="6">
  <autoFilter ref="K9:K11" xr:uid="{1368466E-34C8-4784-8BFD-A50E976CAE79}"/>
  <tableColumns count="1">
    <tableColumn id="1" xr3:uid="{045DAF12-55D8-4AC4-91C8-21F83B24BE3B}" name="Toggle"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56FD095-6ED6-4ABA-AC16-6C3E816CFA3E}" name="Table3" displayName="Table3" ref="K12:K25" totalsRowShown="0" headerRowDxfId="4" dataDxfId="2" headerRowBorderDxfId="3" tableBorderDxfId="1">
  <autoFilter ref="K12:K25" xr:uid="{856FD095-6ED6-4ABA-AC16-6C3E816CFA3E}"/>
  <tableColumns count="1">
    <tableColumn id="1" xr3:uid="{844CFD77-A115-48BC-97E5-86B8F6FBC862}" name="EV Chargers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5-30T18:05:40.09" personId="{491827AB-A7A5-4540-8ADA-5CCE73F09BDE}" id="{20DBFD3C-499D-4818-AC46-C744819C9BB7}">
    <text>Do we want separate experiences for financed vs. upfront cash purchases?</text>
  </threadedComment>
  <threadedComment ref="G8" dT="2023-05-30T18:06:18.96" personId="{491827AB-A7A5-4540-8ADA-5CCE73F09BDE}" id="{1683CB8B-5C4E-4B51-94F4-2AA72F804BA1}">
    <text>Should this be a user input or coded in?</text>
  </threadedComment>
  <threadedComment ref="A15" dT="2023-05-30T18:08:09.97" personId="{491827AB-A7A5-4540-8ADA-5CCE73F09BDE}" id="{83CEF973-D999-4283-9387-76D5410DF68C}">
    <text>Could also produce typical monthly bill without solar for comparison.</text>
  </threadedComment>
</ThreadedComments>
</file>

<file path=xl/threadedComments/threadedComment2.xml><?xml version="1.0" encoding="utf-8"?>
<ThreadedComments xmlns="http://schemas.microsoft.com/office/spreadsheetml/2018/threadedcomments" xmlns:x="http://schemas.openxmlformats.org/spreadsheetml/2006/main">
  <threadedComment ref="D18" dT="2023-11-13T23:00:28.54" personId="{FA2AD576-B7E5-4568-B2CA-2326DDBC2667}" id="{D337AEC5-FF89-487F-AAED-AC5611F89613}">
    <text>Add in a link to the LPEA Solar Sizing Tool calc?</text>
  </threadedComment>
  <threadedComment ref="D18" dT="2023-11-13T23:28:30.40" personId="{491827AB-A7A5-4540-8ADA-5CCE73F09BDE}" id="{23A5E4A2-8A5D-47AF-B334-18F35041E212}" parentId="{D337AEC5-FF89-487F-AAED-AC5611F89613}">
    <text>Great idea, yes if possible. May be a question for Whitney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0C7A-76F4-4DC0-AF47-9C23176AAE11}">
  <dimension ref="A1:O30"/>
  <sheetViews>
    <sheetView workbookViewId="0">
      <selection activeCell="A15" sqref="A15"/>
    </sheetView>
  </sheetViews>
  <sheetFormatPr defaultRowHeight="15" x14ac:dyDescent="0.25"/>
  <cols>
    <col min="1" max="1" width="26.28515625" bestFit="1" customWidth="1"/>
    <col min="2" max="2" width="24.28515625" customWidth="1"/>
    <col min="7" max="7" width="28.85546875" customWidth="1"/>
    <col min="13" max="13" width="21.28515625" bestFit="1" customWidth="1"/>
    <col min="15" max="15" width="31.5703125" bestFit="1" customWidth="1"/>
  </cols>
  <sheetData>
    <row r="1" spans="1:15" x14ac:dyDescent="0.25">
      <c r="A1" t="s">
        <v>0</v>
      </c>
    </row>
    <row r="2" spans="1:15" ht="15.75" thickBot="1" x14ac:dyDescent="0.3">
      <c r="A2" s="2" t="s">
        <v>1</v>
      </c>
      <c r="G2" t="s">
        <v>2</v>
      </c>
      <c r="M2" t="s">
        <v>3</v>
      </c>
      <c r="N2" t="s">
        <v>4</v>
      </c>
      <c r="O2" t="s">
        <v>5</v>
      </c>
    </row>
    <row r="3" spans="1:15" ht="30.75" thickBot="1" x14ac:dyDescent="0.3">
      <c r="A3" s="6" t="s">
        <v>6</v>
      </c>
      <c r="B3" s="1">
        <v>12000</v>
      </c>
      <c r="G3" t="s">
        <v>7</v>
      </c>
      <c r="H3" s="10">
        <v>0.12559999999999999</v>
      </c>
      <c r="M3" s="8" t="s">
        <v>8</v>
      </c>
      <c r="N3">
        <v>0</v>
      </c>
    </row>
    <row r="4" spans="1:15" ht="45.75" thickBot="1" x14ac:dyDescent="0.3">
      <c r="A4" s="6" t="s">
        <v>9</v>
      </c>
      <c r="B4" s="1">
        <v>13000</v>
      </c>
      <c r="G4" t="s">
        <v>10</v>
      </c>
      <c r="H4" s="10">
        <v>1.5</v>
      </c>
      <c r="M4" t="s">
        <v>11</v>
      </c>
      <c r="N4">
        <v>5.5E-2</v>
      </c>
      <c r="O4" s="3" t="s">
        <v>12</v>
      </c>
    </row>
    <row r="5" spans="1:15" ht="15.75" thickBot="1" x14ac:dyDescent="0.3">
      <c r="G5" t="s">
        <v>13</v>
      </c>
      <c r="H5" s="10">
        <v>21.5</v>
      </c>
      <c r="M5" t="s">
        <v>14</v>
      </c>
      <c r="N5">
        <v>0</v>
      </c>
    </row>
    <row r="6" spans="1:15" ht="45.75" thickBot="1" x14ac:dyDescent="0.3">
      <c r="A6" s="7" t="s">
        <v>15</v>
      </c>
      <c r="B6" s="13">
        <v>20000</v>
      </c>
      <c r="G6" s="3" t="s">
        <v>16</v>
      </c>
      <c r="H6" s="11">
        <v>0.01</v>
      </c>
      <c r="M6" s="8" t="s">
        <v>17</v>
      </c>
      <c r="N6">
        <v>0.02</v>
      </c>
    </row>
    <row r="7" spans="1:15" ht="30.75" thickBot="1" x14ac:dyDescent="0.3">
      <c r="A7" s="7" t="s">
        <v>18</v>
      </c>
      <c r="B7" s="1" t="s">
        <v>11</v>
      </c>
      <c r="G7" t="s">
        <v>19</v>
      </c>
      <c r="H7" s="10">
        <v>0.04</v>
      </c>
      <c r="M7" t="s">
        <v>20</v>
      </c>
      <c r="N7">
        <v>0</v>
      </c>
    </row>
    <row r="8" spans="1:15" ht="30" x14ac:dyDescent="0.25">
      <c r="G8" s="3" t="s">
        <v>21</v>
      </c>
      <c r="M8" s="9" t="s">
        <v>22</v>
      </c>
      <c r="N8">
        <v>0</v>
      </c>
    </row>
    <row r="9" spans="1:15" x14ac:dyDescent="0.25">
      <c r="A9" s="2" t="s">
        <v>23</v>
      </c>
      <c r="M9" t="s">
        <v>24</v>
      </c>
      <c r="N9">
        <v>0</v>
      </c>
    </row>
    <row r="10" spans="1:15" ht="45" x14ac:dyDescent="0.25">
      <c r="A10" s="3" t="s">
        <v>25</v>
      </c>
      <c r="B10" s="10">
        <f>B6*0.3</f>
        <v>6000</v>
      </c>
      <c r="M10" s="8" t="s">
        <v>26</v>
      </c>
      <c r="N10">
        <v>0</v>
      </c>
    </row>
    <row r="11" spans="1:15" x14ac:dyDescent="0.25">
      <c r="A11" t="s">
        <v>27</v>
      </c>
      <c r="B11" s="10">
        <f>B6-B10</f>
        <v>14000</v>
      </c>
    </row>
    <row r="15" spans="1:15" x14ac:dyDescent="0.25">
      <c r="A15" s="2" t="s">
        <v>28</v>
      </c>
    </row>
    <row r="16" spans="1:15" x14ac:dyDescent="0.25">
      <c r="A16" t="s">
        <v>29</v>
      </c>
      <c r="B16" s="12">
        <f>$H$5</f>
        <v>21.5</v>
      </c>
    </row>
    <row r="17" spans="1:2" x14ac:dyDescent="0.25">
      <c r="A17" t="s">
        <v>30</v>
      </c>
      <c r="B17" s="12">
        <f>IF((((B3-B4)/12)*H3)&gt;0, (((B3-B4)/12)*H3), 0)</f>
        <v>0</v>
      </c>
    </row>
    <row r="18" spans="1:2" x14ac:dyDescent="0.25">
      <c r="A18" t="s">
        <v>31</v>
      </c>
      <c r="B18" s="12">
        <f>(B3/12)*$H$4*$H$6</f>
        <v>15</v>
      </c>
    </row>
    <row r="19" spans="1:2" x14ac:dyDescent="0.25">
      <c r="A19" t="s">
        <v>32</v>
      </c>
      <c r="B19" s="10" cm="1">
        <f t="array" ref="B19">_xlfn.IFS(B7="Archuleta County", SUM(B16:B18)*N3, B7="City of Durango", SUM(B16:B18)*N4, B7="Hinsdale County", SUM(B16:B18)*N5, B7="La Plata County", SUM(B16:B18)*N6, B7="Mineral County", SUM(B16:B18)*N7, B7="San Juan County", SUM(B16:B18)*N8, B7="Town of Bayfield", SUM(B16:B18)*N9, B7="Town of Pagosa Springs", SUM(B16:B18)*N10 )</f>
        <v>2.0074999999999998</v>
      </c>
    </row>
    <row r="20" spans="1:2" x14ac:dyDescent="0.25">
      <c r="A20" t="s">
        <v>33</v>
      </c>
      <c r="B20" s="12">
        <f>SUM(B16:B19)</f>
        <v>38.5075</v>
      </c>
    </row>
    <row r="23" spans="1:2" x14ac:dyDescent="0.25">
      <c r="A23" t="s">
        <v>34</v>
      </c>
      <c r="B23" s="12">
        <f>B4*H3</f>
        <v>1632.8</v>
      </c>
    </row>
    <row r="24" spans="1:2" x14ac:dyDescent="0.25">
      <c r="A24" t="s">
        <v>35</v>
      </c>
      <c r="B24" s="10" cm="1">
        <f t="array" ref="B24">_xlfn.IFS(B7="Archuleta County", B23*N3, B7="City of Durango", B23*N4, B7="Hinsdale County", B23*N5, B7="La Plata County", B23*N6, B7="Mineral County", B23*N7, B7="San Juan County", B23*N8, B7="Town of Bayfield", B23*N9, B7="Town of Pagosa Springs", B23*N10 )</f>
        <v>89.804000000000002</v>
      </c>
    </row>
    <row r="25" spans="1:2" ht="30" x14ac:dyDescent="0.25">
      <c r="A25" s="3" t="s">
        <v>36</v>
      </c>
      <c r="B25" s="10">
        <f>IF((B4-B3)&gt;0, (B4-B3)*H7, 0)</f>
        <v>40</v>
      </c>
    </row>
    <row r="26" spans="1:2" x14ac:dyDescent="0.25">
      <c r="A26" t="s">
        <v>37</v>
      </c>
      <c r="B26" s="12">
        <f>B23+B24</f>
        <v>1722.604</v>
      </c>
    </row>
    <row r="28" spans="1:2" ht="30" x14ac:dyDescent="0.25">
      <c r="A28" s="3" t="s">
        <v>38</v>
      </c>
      <c r="B28" s="14">
        <f>B11/B26</f>
        <v>8.1272306345509477</v>
      </c>
    </row>
    <row r="29" spans="1:2" x14ac:dyDescent="0.25">
      <c r="A29" s="3" t="s">
        <v>39</v>
      </c>
      <c r="B29" s="12">
        <f>B26*25-B11</f>
        <v>29065.1</v>
      </c>
    </row>
    <row r="30" spans="1:2" ht="30" x14ac:dyDescent="0.25">
      <c r="A30" s="3" t="s">
        <v>40</v>
      </c>
      <c r="B30" s="11">
        <f>B29/B11</f>
        <v>2.0760785714285714</v>
      </c>
    </row>
  </sheetData>
  <dataValidations count="1">
    <dataValidation type="list" allowBlank="1" showInputMessage="1" showErrorMessage="1" prompt="Please select where in LPEA's service territory you live so that the relevant taxes and fee rates can be identified." sqref="B7" xr:uid="{6CA107BE-B1DE-4EA8-827B-59808BB5F700}">
      <formula1>$M$3:$M$10</formula1>
    </dataValidation>
  </dataValidations>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75A39-8CB9-41A3-9607-B54439840E85}">
  <dimension ref="B1:X109"/>
  <sheetViews>
    <sheetView tabSelected="1" zoomScale="80" zoomScaleNormal="80" workbookViewId="0">
      <selection activeCell="S29" sqref="S29"/>
    </sheetView>
  </sheetViews>
  <sheetFormatPr defaultRowHeight="15" x14ac:dyDescent="0.25"/>
  <cols>
    <col min="1" max="3" width="2.85546875" customWidth="1"/>
    <col min="4" max="4" width="3" customWidth="1"/>
    <col min="5" max="5" width="33.85546875" customWidth="1"/>
    <col min="6" max="6" width="38.42578125" bestFit="1" customWidth="1"/>
    <col min="7" max="7" width="2.85546875" customWidth="1"/>
    <col min="8" max="8" width="38.42578125" customWidth="1"/>
    <col min="9" max="9" width="34" customWidth="1"/>
    <col min="10" max="11" width="2.85546875" customWidth="1"/>
    <col min="12" max="13" width="3" customWidth="1"/>
    <col min="14" max="14" width="25" customWidth="1"/>
    <col min="15" max="15" width="8.42578125" bestFit="1" customWidth="1"/>
    <col min="16" max="16" width="7.85546875" customWidth="1"/>
    <col min="17" max="17" width="3.28515625" customWidth="1"/>
    <col min="18" max="18" width="10.140625" customWidth="1"/>
    <col min="19" max="20" width="13.28515625" bestFit="1" customWidth="1"/>
    <col min="21" max="22" width="11.7109375" bestFit="1" customWidth="1"/>
    <col min="23" max="23" width="3.5703125" customWidth="1"/>
    <col min="24" max="24" width="23" customWidth="1"/>
    <col min="25" max="26" width="3" customWidth="1"/>
  </cols>
  <sheetData>
    <row r="1" spans="2:13" ht="15.75" thickBot="1" x14ac:dyDescent="0.3"/>
    <row r="2" spans="2:13" ht="15.75" thickBot="1" x14ac:dyDescent="0.3">
      <c r="B2" s="53"/>
      <c r="C2" s="54"/>
      <c r="D2" s="54"/>
      <c r="E2" s="54"/>
      <c r="F2" s="54"/>
      <c r="G2" s="54"/>
      <c r="H2" s="54"/>
      <c r="I2" s="54"/>
      <c r="J2" s="54"/>
      <c r="K2" s="54"/>
      <c r="L2" s="58"/>
    </row>
    <row r="3" spans="2:13" ht="15" customHeight="1" x14ac:dyDescent="0.25">
      <c r="B3" s="55"/>
      <c r="C3" s="92" t="s">
        <v>41</v>
      </c>
      <c r="D3" s="93"/>
      <c r="E3" s="93"/>
      <c r="F3" s="93"/>
      <c r="G3" s="93"/>
      <c r="H3" s="93"/>
      <c r="I3" s="93"/>
      <c r="J3" s="93"/>
      <c r="K3" s="94"/>
      <c r="L3" s="59"/>
    </row>
    <row r="4" spans="2:13" ht="15" customHeight="1" x14ac:dyDescent="0.25">
      <c r="B4" s="55"/>
      <c r="C4" s="95"/>
      <c r="D4" s="96"/>
      <c r="E4" s="96"/>
      <c r="F4" s="96"/>
      <c r="G4" s="96"/>
      <c r="H4" s="96"/>
      <c r="I4" s="96"/>
      <c r="J4" s="96"/>
      <c r="K4" s="97"/>
      <c r="L4" s="59"/>
    </row>
    <row r="5" spans="2:13" ht="15" customHeight="1" thickBot="1" x14ac:dyDescent="0.3">
      <c r="B5" s="55"/>
      <c r="C5" s="95"/>
      <c r="D5" s="96"/>
      <c r="E5" s="96"/>
      <c r="F5" s="96"/>
      <c r="G5" s="96"/>
      <c r="H5" s="96"/>
      <c r="I5" s="96"/>
      <c r="J5" s="96"/>
      <c r="K5" s="97"/>
      <c r="L5" s="59"/>
    </row>
    <row r="6" spans="2:13" x14ac:dyDescent="0.25">
      <c r="B6" s="55"/>
      <c r="C6" s="67"/>
      <c r="D6" s="68"/>
      <c r="E6" s="98" t="s">
        <v>42</v>
      </c>
      <c r="F6" s="99"/>
      <c r="G6" s="99"/>
      <c r="H6" s="99"/>
      <c r="I6" s="100"/>
      <c r="J6" s="68"/>
      <c r="K6" s="73"/>
      <c r="L6" s="59"/>
    </row>
    <row r="7" spans="2:13" ht="23.25" customHeight="1" thickBot="1" x14ac:dyDescent="0.3">
      <c r="B7" s="55"/>
      <c r="C7" s="67"/>
      <c r="D7" s="68"/>
      <c r="E7" s="101"/>
      <c r="F7" s="102"/>
      <c r="G7" s="102"/>
      <c r="H7" s="102"/>
      <c r="I7" s="103"/>
      <c r="J7" s="68"/>
      <c r="K7" s="73"/>
      <c r="L7" s="59"/>
    </row>
    <row r="8" spans="2:13" ht="15.75" customHeight="1" thickBot="1" x14ac:dyDescent="0.3">
      <c r="B8" s="55"/>
      <c r="C8" s="67"/>
      <c r="D8" s="68"/>
      <c r="E8" s="69"/>
      <c r="F8" s="69"/>
      <c r="G8" s="69"/>
      <c r="H8" s="69"/>
      <c r="I8" s="69"/>
      <c r="J8" s="69"/>
      <c r="K8" s="70"/>
      <c r="L8" s="60"/>
      <c r="M8" s="52"/>
    </row>
    <row r="9" spans="2:13" ht="15.75" customHeight="1" thickBot="1" x14ac:dyDescent="0.3">
      <c r="B9" s="55"/>
      <c r="C9" s="67"/>
      <c r="D9" s="104" t="s">
        <v>43</v>
      </c>
      <c r="E9" s="105"/>
      <c r="F9" s="106"/>
      <c r="G9" s="71"/>
      <c r="H9" s="147" t="s">
        <v>44</v>
      </c>
      <c r="I9" s="148"/>
      <c r="J9" s="149"/>
      <c r="K9" s="107"/>
      <c r="L9" s="60"/>
      <c r="M9" s="52"/>
    </row>
    <row r="10" spans="2:13" ht="15.75" customHeight="1" x14ac:dyDescent="0.25">
      <c r="B10" s="55"/>
      <c r="C10" s="67"/>
      <c r="D10" s="114" t="s">
        <v>45</v>
      </c>
      <c r="E10" s="115"/>
      <c r="F10" s="72">
        <v>2560</v>
      </c>
      <c r="G10" s="57"/>
      <c r="H10" s="150"/>
      <c r="I10" s="151"/>
      <c r="J10" s="152"/>
      <c r="K10" s="107"/>
      <c r="L10" s="60"/>
      <c r="M10" s="52"/>
    </row>
    <row r="11" spans="2:13" ht="15" customHeight="1" x14ac:dyDescent="0.25">
      <c r="B11" s="55"/>
      <c r="C11" s="67"/>
      <c r="D11" s="110" t="s">
        <v>46</v>
      </c>
      <c r="E11" s="111"/>
      <c r="F11" s="4" t="s">
        <v>47</v>
      </c>
      <c r="G11" s="57"/>
      <c r="H11" s="150"/>
      <c r="I11" s="151"/>
      <c r="J11" s="152"/>
      <c r="K11" s="107"/>
      <c r="L11" s="60"/>
      <c r="M11" s="52"/>
    </row>
    <row r="12" spans="2:13" ht="15" customHeight="1" thickBot="1" x14ac:dyDescent="0.3">
      <c r="B12" s="55"/>
      <c r="C12" s="67"/>
      <c r="D12" s="116" t="s">
        <v>48</v>
      </c>
      <c r="E12" s="117"/>
      <c r="F12" s="118"/>
      <c r="G12" s="56"/>
      <c r="H12" s="153"/>
      <c r="I12" s="154"/>
      <c r="J12" s="155"/>
      <c r="K12" s="107"/>
      <c r="L12" s="60"/>
      <c r="M12" s="52"/>
    </row>
    <row r="13" spans="2:13" ht="15" customHeight="1" x14ac:dyDescent="0.25">
      <c r="B13" s="55"/>
      <c r="C13" s="67"/>
      <c r="D13" s="110" t="s">
        <v>49</v>
      </c>
      <c r="E13" s="111"/>
      <c r="F13" s="4">
        <v>2</v>
      </c>
      <c r="G13" s="57"/>
      <c r="H13" s="156" t="str">
        <f>ROUND('Background Info'!$B$14,0) &amp; " kWh/year"</f>
        <v>30723 kWh/year</v>
      </c>
      <c r="I13" s="157"/>
      <c r="J13" s="158"/>
      <c r="K13" s="107"/>
      <c r="L13" s="60"/>
      <c r="M13" s="52"/>
    </row>
    <row r="14" spans="2:13" ht="15.75" customHeight="1" x14ac:dyDescent="0.25">
      <c r="B14" s="55"/>
      <c r="C14" s="67"/>
      <c r="D14" s="110" t="s">
        <v>50</v>
      </c>
      <c r="E14" s="111"/>
      <c r="F14" s="4" t="s">
        <v>51</v>
      </c>
      <c r="G14" s="57"/>
      <c r="H14" s="159"/>
      <c r="I14" s="160"/>
      <c r="J14" s="161"/>
      <c r="K14" s="107"/>
      <c r="L14" s="60"/>
      <c r="M14" s="52"/>
    </row>
    <row r="15" spans="2:13" ht="15" customHeight="1" x14ac:dyDescent="0.25">
      <c r="B15" s="55"/>
      <c r="C15" s="67"/>
      <c r="D15" s="110" t="s">
        <v>52</v>
      </c>
      <c r="E15" s="111"/>
      <c r="F15" s="4" t="s">
        <v>53</v>
      </c>
      <c r="G15" s="57"/>
      <c r="H15" s="159"/>
      <c r="I15" s="160"/>
      <c r="J15" s="161"/>
      <c r="K15" s="107"/>
      <c r="L15" s="60"/>
      <c r="M15" s="52"/>
    </row>
    <row r="16" spans="2:13" ht="15.75" customHeight="1" thickBot="1" x14ac:dyDescent="0.3">
      <c r="B16" s="55"/>
      <c r="C16" s="67"/>
      <c r="D16" s="112" t="s">
        <v>54</v>
      </c>
      <c r="E16" s="113"/>
      <c r="F16" s="5">
        <v>28</v>
      </c>
      <c r="G16" s="75"/>
      <c r="H16" s="162"/>
      <c r="I16" s="163"/>
      <c r="J16" s="164"/>
      <c r="K16" s="107"/>
      <c r="L16" s="60"/>
      <c r="M16" s="52"/>
    </row>
    <row r="17" spans="2:15" ht="15.75" customHeight="1" thickBot="1" x14ac:dyDescent="0.3">
      <c r="B17" s="55"/>
      <c r="C17" s="108"/>
      <c r="D17" s="109"/>
      <c r="E17" s="109"/>
      <c r="F17" s="109"/>
      <c r="G17" s="109"/>
      <c r="H17" s="109"/>
      <c r="I17" s="109"/>
      <c r="J17" s="109"/>
      <c r="K17" s="107"/>
      <c r="L17" s="61"/>
      <c r="M17" s="42"/>
    </row>
    <row r="18" spans="2:15" ht="24" customHeight="1" thickBot="1" x14ac:dyDescent="0.3">
      <c r="B18" s="55"/>
      <c r="C18" s="67"/>
      <c r="D18" s="89" t="s">
        <v>55</v>
      </c>
      <c r="E18" s="90"/>
      <c r="F18" s="90"/>
      <c r="G18" s="90"/>
      <c r="H18" s="90"/>
      <c r="I18" s="90"/>
      <c r="J18" s="91"/>
      <c r="K18" s="107"/>
      <c r="L18" s="59"/>
    </row>
    <row r="19" spans="2:15" ht="15" customHeight="1" x14ac:dyDescent="0.35">
      <c r="B19" s="55"/>
      <c r="C19" s="67"/>
      <c r="D19" s="68"/>
      <c r="E19" s="77"/>
      <c r="F19" s="77"/>
      <c r="G19" s="77"/>
      <c r="H19" s="77"/>
      <c r="I19" s="77"/>
      <c r="J19" s="68"/>
      <c r="K19" s="73"/>
      <c r="L19" s="59"/>
    </row>
    <row r="20" spans="2:15" ht="15" customHeight="1" x14ac:dyDescent="0.25">
      <c r="B20" s="55"/>
      <c r="C20" s="67"/>
      <c r="D20" s="68"/>
      <c r="E20" s="80" t="s">
        <v>56</v>
      </c>
      <c r="F20" s="81"/>
      <c r="G20" s="81"/>
      <c r="H20" s="81"/>
      <c r="I20" s="82"/>
      <c r="J20" s="68"/>
      <c r="K20" s="73"/>
      <c r="L20" s="59"/>
    </row>
    <row r="21" spans="2:15" ht="15" customHeight="1" x14ac:dyDescent="0.25">
      <c r="B21" s="55"/>
      <c r="C21" s="67"/>
      <c r="D21" s="68"/>
      <c r="E21" s="83"/>
      <c r="F21" s="84"/>
      <c r="G21" s="84"/>
      <c r="H21" s="84"/>
      <c r="I21" s="85"/>
      <c r="J21" s="68"/>
      <c r="K21" s="73"/>
      <c r="L21" s="59"/>
    </row>
    <row r="22" spans="2:15" ht="15" customHeight="1" x14ac:dyDescent="0.25">
      <c r="B22" s="55"/>
      <c r="C22" s="67"/>
      <c r="E22" s="86"/>
      <c r="F22" s="87"/>
      <c r="G22" s="87"/>
      <c r="H22" s="87"/>
      <c r="I22" s="88"/>
      <c r="J22" s="68"/>
      <c r="K22" s="73"/>
      <c r="L22" s="59"/>
    </row>
    <row r="23" spans="2:15" ht="15" customHeight="1" thickBot="1" x14ac:dyDescent="0.4">
      <c r="B23" s="55"/>
      <c r="C23" s="74"/>
      <c r="D23" s="76"/>
      <c r="E23" s="78"/>
      <c r="F23" s="78"/>
      <c r="G23" s="78"/>
      <c r="H23" s="78"/>
      <c r="I23" s="78"/>
      <c r="J23" s="76"/>
      <c r="K23" s="79"/>
      <c r="L23" s="59"/>
    </row>
    <row r="24" spans="2:15" ht="15.75" thickBot="1" x14ac:dyDescent="0.3">
      <c r="B24" s="66"/>
      <c r="C24" s="64"/>
      <c r="D24" s="64"/>
      <c r="E24" s="64"/>
      <c r="F24" s="64"/>
      <c r="G24" s="64"/>
      <c r="H24" s="64"/>
      <c r="I24" s="64"/>
      <c r="J24" s="64"/>
      <c r="K24" s="64"/>
      <c r="L24" s="65"/>
    </row>
    <row r="27" spans="2:15" ht="15" customHeight="1" x14ac:dyDescent="0.25">
      <c r="L27" s="62"/>
      <c r="N27" s="62"/>
      <c r="O27" s="62"/>
    </row>
    <row r="28" spans="2:15" x14ac:dyDescent="0.25">
      <c r="L28" s="62"/>
      <c r="N28" s="62"/>
      <c r="O28" s="62"/>
    </row>
    <row r="29" spans="2:15" x14ac:dyDescent="0.25">
      <c r="L29" s="62"/>
      <c r="N29" s="62"/>
      <c r="O29" s="62"/>
    </row>
    <row r="31" spans="2:15" x14ac:dyDescent="0.25">
      <c r="J31" s="63"/>
      <c r="K31" s="63"/>
    </row>
    <row r="32" spans="2:15" x14ac:dyDescent="0.25">
      <c r="J32" s="63"/>
      <c r="K32" s="63"/>
    </row>
    <row r="33" spans="10:22" ht="15.75" customHeight="1" x14ac:dyDescent="0.25">
      <c r="J33" s="63"/>
      <c r="K33" s="63"/>
    </row>
    <row r="34" spans="10:22" ht="15.75" customHeight="1" x14ac:dyDescent="0.25"/>
    <row r="36" spans="10:22" ht="15.75" customHeight="1" x14ac:dyDescent="0.25"/>
    <row r="37" spans="10:22" ht="15.75" customHeight="1" x14ac:dyDescent="0.25">
      <c r="S37" s="42"/>
      <c r="T37" s="42"/>
      <c r="U37" s="42"/>
      <c r="V37" s="42"/>
    </row>
    <row r="38" spans="10:22" ht="15.75" customHeight="1" x14ac:dyDescent="0.25">
      <c r="S38" s="46"/>
      <c r="T38" s="46"/>
      <c r="U38" s="46"/>
      <c r="V38" s="46"/>
    </row>
    <row r="39" spans="10:22" x14ac:dyDescent="0.25">
      <c r="S39" s="42"/>
      <c r="T39" s="42"/>
      <c r="U39" s="42"/>
      <c r="V39" s="42"/>
    </row>
    <row r="40" spans="10:22" ht="15.75" customHeight="1" x14ac:dyDescent="0.25">
      <c r="S40" s="47"/>
      <c r="T40" s="47"/>
      <c r="U40" s="47"/>
      <c r="V40" s="47"/>
    </row>
    <row r="41" spans="10:22" x14ac:dyDescent="0.25">
      <c r="S41" s="47"/>
      <c r="T41" s="47"/>
      <c r="U41" s="47"/>
      <c r="V41" s="47"/>
    </row>
    <row r="42" spans="10:22" x14ac:dyDescent="0.25">
      <c r="S42" s="47"/>
      <c r="T42" s="47"/>
      <c r="U42" s="47"/>
      <c r="V42" s="47"/>
    </row>
    <row r="43" spans="10:22" x14ac:dyDescent="0.25">
      <c r="S43" s="47"/>
      <c r="T43" s="47"/>
      <c r="U43" s="47"/>
      <c r="V43" s="47"/>
    </row>
    <row r="44" spans="10:22" x14ac:dyDescent="0.25">
      <c r="S44" s="47"/>
      <c r="T44" s="47"/>
      <c r="U44" s="47"/>
      <c r="V44" s="47"/>
    </row>
    <row r="45" spans="10:22" x14ac:dyDescent="0.25">
      <c r="S45" s="47"/>
      <c r="T45" s="47"/>
      <c r="U45" s="47"/>
      <c r="V45" s="47"/>
    </row>
    <row r="46" spans="10:22" x14ac:dyDescent="0.25">
      <c r="S46" s="47"/>
      <c r="T46" s="47"/>
      <c r="U46" s="47"/>
      <c r="V46" s="47"/>
    </row>
    <row r="47" spans="10:22" x14ac:dyDescent="0.25">
      <c r="S47" s="47"/>
      <c r="T47" s="47"/>
      <c r="U47" s="47"/>
      <c r="V47" s="47"/>
    </row>
    <row r="48" spans="10:22" x14ac:dyDescent="0.25">
      <c r="S48" s="47"/>
      <c r="T48" s="47"/>
      <c r="U48" s="47"/>
      <c r="V48" s="47"/>
    </row>
    <row r="109" spans="6:24" x14ac:dyDescent="0.25">
      <c r="F109" t="s">
        <v>57</v>
      </c>
      <c r="I109" t="s">
        <v>58</v>
      </c>
      <c r="S109" t="s">
        <v>59</v>
      </c>
      <c r="X109" t="s">
        <v>60</v>
      </c>
    </row>
  </sheetData>
  <mergeCells count="16">
    <mergeCell ref="D13:E13"/>
    <mergeCell ref="D12:F12"/>
    <mergeCell ref="H13:J16"/>
    <mergeCell ref="H9:J12"/>
    <mergeCell ref="E20:I22"/>
    <mergeCell ref="D18:J18"/>
    <mergeCell ref="C3:K5"/>
    <mergeCell ref="E6:I7"/>
    <mergeCell ref="D9:F9"/>
    <mergeCell ref="K9:K18"/>
    <mergeCell ref="C17:J17"/>
    <mergeCell ref="D14:E14"/>
    <mergeCell ref="D15:E15"/>
    <mergeCell ref="D16:E16"/>
    <mergeCell ref="D10:E10"/>
    <mergeCell ref="D11:E11"/>
  </mergeCells>
  <dataValidations xWindow="400" yWindow="508" count="4">
    <dataValidation allowBlank="1" showInputMessage="1" showErrorMessage="1" promptTitle="Other Loads: " prompt="Please sum the estimated kWh/yr for other significant loads such as heat tape, well pumps, etc. Do not include typical household appliances or infrequently used tools. " sqref="F16:G16" xr:uid="{F26C4C06-E6FC-4EBB-831F-15651933E821}"/>
    <dataValidation allowBlank="1" showInputMessage="1" showErrorMessage="1" promptTitle="Square Footage:" prompt="Please indicate what the Square Footage of your new home will be. " sqref="G10" xr:uid="{9A29F8CD-4BA6-4674-8B19-5FE481D28AEA}"/>
    <dataValidation allowBlank="1" showInputMessage="1" showErrorMessage="1" promptTitle="Other Loads: " prompt="Please add together all other significant loads like Heat Tape, Well Pumps, and other significant loads in units of kWh/year. " sqref="L8:M16" xr:uid="{32BE2278-EF52-43AC-A6B6-854B0CCF3D09}"/>
    <dataValidation allowBlank="1" showInputMessage="1" showErrorMessage="1" promptTitle="Square Footage:" prompt="Please indicate what the square footage of conditioned space of your new home will be. " sqref="F10" xr:uid="{D6DCA232-1F3C-4916-8EAC-E228A9A1305D}"/>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xWindow="400" yWindow="508" count="7">
        <x14:dataValidation type="list" allowBlank="1" showInputMessage="1" showErrorMessage="1" promptTitle="Water Heater:" prompt="Please indicate whether there will be a &quot;heat pump water heater&quot;, an &quot;electric resistance water heater&quot;, or a &quot;gas (natural gas or propane) water heater&quot; in your new home. " xr:uid="{35CF3987-4CD7-4885-A0D1-45DCAA97A3A3}">
          <x14:formula1>
            <xm:f>'Background Info'!$K$19:$K$21</xm:f>
          </x14:formula1>
          <xm:sqref>G14</xm:sqref>
        </x14:dataValidation>
        <x14:dataValidation type="list" allowBlank="1" showInputMessage="1" showErrorMessage="1" promptTitle="EV Charger:" prompt="Please indicate how many electric vehicles will be charged primarily with a home EV Charger." xr:uid="{80E97B65-0B4F-48A3-935A-9271895E82A1}">
          <x14:formula1>
            <xm:f>'Background Info'!$K$13:$K$17</xm:f>
          </x14:formula1>
          <xm:sqref>F13:G13</xm:sqref>
        </x14:dataValidation>
        <x14:dataValidation type="list" allowBlank="1" showInputMessage="1" showErrorMessage="1" promptTitle="Hot Tub:" prompt="Please indicate whether or not there will be a hot tub in the new home." xr:uid="{BD6D1101-824E-4C57-B5E9-CA6FB067F0C7}">
          <x14:formula1>
            <xm:f>'Background Info'!$K$10:$K$11</xm:f>
          </x14:formula1>
          <xm:sqref>G15</xm:sqref>
        </x14:dataValidation>
        <x14:dataValidation type="list" allowBlank="1" showInputMessage="1" showErrorMessage="1" promptTitle="Type of Heating:" prompt="Please indicate whether the home's conditioned space is going to be primarily heated by electric or gas (natural gas or propane)." xr:uid="{7406C9CC-0B1B-4297-A7BC-A1E2B3B057E8}">
          <x14:formula1>
            <xm:f>'Background Info'!$K$7:$K$8</xm:f>
          </x14:formula1>
          <xm:sqref>G11</xm:sqref>
        </x14:dataValidation>
        <x14:dataValidation type="list" allowBlank="1" showInputMessage="1" showErrorMessage="1" promptTitle="Hot Tub:" prompt="Please indicate whether or not there will be a hot tub at the new home." xr:uid="{3458F9FA-36BD-4C98-9BA3-B20C365AD487}">
          <x14:formula1>
            <xm:f>'Background Info'!$K$10:$K$11</xm:f>
          </x14:formula1>
          <xm:sqref>F15</xm:sqref>
        </x14:dataValidation>
        <x14:dataValidation type="list" allowBlank="1" showInputMessage="1" showErrorMessage="1" promptTitle="Type of Heating:" prompt="Please indicate whether the home's conditioned space is going to be primarily heated by electricity or gas (natural gas or propane)." xr:uid="{CB9631F4-8D3A-4455-B377-6008C59C2B2B}">
          <x14:formula1>
            <xm:f>'Background Info'!$K$7:$K$8</xm:f>
          </x14:formula1>
          <xm:sqref>F11</xm:sqref>
        </x14:dataValidation>
        <x14:dataValidation type="list" allowBlank="1" showInputMessage="1" showErrorMessage="1" promptTitle="Water Heater:" prompt="Please indicate whether there will be a heat pump water heater, an electric resistance water heater, or a gas (natural gas or propane) water heater in your new home. " xr:uid="{7970D6B1-4046-46A3-8CD3-7C76C97B8CD5}">
          <x14:formula1>
            <xm:f>'Background Info'!$K$19:$K$21</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3A05-BA01-4D7A-B83B-4EA369F2A0EE}">
  <dimension ref="A1:L39"/>
  <sheetViews>
    <sheetView topLeftCell="A5" workbookViewId="0">
      <selection activeCell="B21" sqref="B21"/>
    </sheetView>
  </sheetViews>
  <sheetFormatPr defaultRowHeight="15" x14ac:dyDescent="0.25"/>
  <cols>
    <col min="1" max="1" width="25.28515625" bestFit="1" customWidth="1"/>
    <col min="2" max="2" width="9" customWidth="1"/>
    <col min="3" max="3" width="7.85546875" customWidth="1"/>
    <col min="4" max="4" width="2.85546875" customWidth="1"/>
    <col min="7" max="7" width="13.28515625" bestFit="1" customWidth="1"/>
    <col min="11" max="11" width="17.5703125" bestFit="1" customWidth="1"/>
    <col min="12" max="12" width="2.85546875" customWidth="1"/>
  </cols>
  <sheetData>
    <row r="1" spans="1:12" x14ac:dyDescent="0.25">
      <c r="A1" s="128" t="s">
        <v>61</v>
      </c>
      <c r="B1" s="129"/>
      <c r="C1" s="129"/>
      <c r="D1" s="129"/>
      <c r="E1" s="129"/>
      <c r="F1" s="129"/>
      <c r="G1" s="129"/>
      <c r="H1" s="129"/>
      <c r="I1" s="129"/>
      <c r="J1" s="129"/>
      <c r="K1" s="129"/>
      <c r="L1" s="130"/>
    </row>
    <row r="2" spans="1:12" ht="15.75" thickBot="1" x14ac:dyDescent="0.3">
      <c r="A2" s="131"/>
      <c r="B2" s="132"/>
      <c r="C2" s="132"/>
      <c r="D2" s="132"/>
      <c r="E2" s="132"/>
      <c r="F2" s="132"/>
      <c r="G2" s="132"/>
      <c r="H2" s="132"/>
      <c r="I2" s="132"/>
      <c r="J2" s="132"/>
      <c r="K2" s="132"/>
      <c r="L2" s="133"/>
    </row>
    <row r="3" spans="1:12" x14ac:dyDescent="0.25">
      <c r="A3" s="135" t="s">
        <v>62</v>
      </c>
      <c r="B3" s="136"/>
      <c r="C3" s="37"/>
      <c r="D3" s="134"/>
      <c r="E3" s="134"/>
      <c r="F3" s="134"/>
      <c r="G3" s="134"/>
      <c r="H3" s="134"/>
      <c r="I3" s="37"/>
      <c r="J3" s="37"/>
      <c r="K3" s="37"/>
      <c r="L3" s="19"/>
    </row>
    <row r="4" spans="1:12" ht="15.75" thickBot="1" x14ac:dyDescent="0.3">
      <c r="A4" s="18"/>
      <c r="B4" s="28">
        <f>IF('New Construction-Sizing editing'!F13="None", 0, 'New Construction-Sizing editing'!F13*1800)</f>
        <v>3600</v>
      </c>
      <c r="C4" s="37"/>
      <c r="D4" s="37"/>
      <c r="E4" s="37"/>
      <c r="F4" s="137" t="s">
        <v>63</v>
      </c>
      <c r="G4" s="137"/>
      <c r="H4" s="137"/>
      <c r="I4" s="137"/>
      <c r="J4" s="37"/>
      <c r="K4" s="37"/>
      <c r="L4" s="19"/>
    </row>
    <row r="5" spans="1:12" ht="15.75" thickBot="1" x14ac:dyDescent="0.3">
      <c r="A5" s="18"/>
      <c r="B5" s="28">
        <f>IF('New Construction-Sizing editing'!F14="Heat pump",900,IF('New Construction-Sizing editing'!F14="Electric resistance ",2700,IF('New Construction-Sizing editing'!F14="Gas",0,0)))</f>
        <v>900</v>
      </c>
      <c r="C5" s="37"/>
      <c r="D5" s="37"/>
      <c r="E5" s="37"/>
      <c r="F5" s="39"/>
      <c r="G5" s="39"/>
      <c r="H5" s="39"/>
      <c r="I5" s="39"/>
      <c r="J5" s="37"/>
      <c r="K5" s="25" t="s">
        <v>64</v>
      </c>
      <c r="L5" s="19"/>
    </row>
    <row r="6" spans="1:12" x14ac:dyDescent="0.25">
      <c r="A6" s="18"/>
      <c r="B6" s="28">
        <f>IF('New Construction-Sizing editing'!F15="No", 0, 2500)</f>
        <v>2500</v>
      </c>
      <c r="C6" s="37"/>
      <c r="D6" s="37"/>
      <c r="E6" s="37"/>
      <c r="F6" s="40">
        <v>1</v>
      </c>
      <c r="G6" s="40">
        <v>1.5</v>
      </c>
      <c r="H6" s="40">
        <v>1</v>
      </c>
      <c r="I6" s="40">
        <v>1.5</v>
      </c>
      <c r="J6" s="37"/>
      <c r="K6" s="26" t="s">
        <v>65</v>
      </c>
      <c r="L6" s="19"/>
    </row>
    <row r="7" spans="1:12" x14ac:dyDescent="0.25">
      <c r="A7" s="29"/>
      <c r="B7" s="30">
        <f>'New Construction-Sizing editing'!F16</f>
        <v>28</v>
      </c>
      <c r="C7" s="37"/>
      <c r="D7" s="37"/>
      <c r="E7" s="15" t="s">
        <v>66</v>
      </c>
      <c r="F7" s="15" t="s">
        <v>67</v>
      </c>
      <c r="G7" s="15" t="s">
        <v>67</v>
      </c>
      <c r="H7" s="15" t="s">
        <v>68</v>
      </c>
      <c r="I7" s="15" t="s">
        <v>68</v>
      </c>
      <c r="J7" s="38"/>
      <c r="K7" s="37" t="s">
        <v>47</v>
      </c>
      <c r="L7" s="20"/>
    </row>
    <row r="8" spans="1:12" x14ac:dyDescent="0.25">
      <c r="A8" s="18"/>
      <c r="B8" s="37"/>
      <c r="C8" s="37"/>
      <c r="D8" s="37"/>
      <c r="E8" s="15" t="s">
        <v>69</v>
      </c>
      <c r="F8" s="17">
        <v>5.7231257783312586</v>
      </c>
      <c r="G8" s="16">
        <f t="shared" ref="G8:G16" si="0">F8*1.5</f>
        <v>8.5846886674968879</v>
      </c>
      <c r="H8" s="17">
        <v>1.9919053549190535</v>
      </c>
      <c r="I8" s="16">
        <f t="shared" ref="I8:I16" si="1">H8*1.5</f>
        <v>2.9878580323785804</v>
      </c>
      <c r="J8" s="37"/>
      <c r="K8" s="37" t="s">
        <v>70</v>
      </c>
      <c r="L8" s="19"/>
    </row>
    <row r="9" spans="1:12" x14ac:dyDescent="0.25">
      <c r="A9" s="33" t="s">
        <v>71</v>
      </c>
      <c r="B9" s="32">
        <f>SUM(B4:B7)</f>
        <v>7028</v>
      </c>
      <c r="C9" s="37"/>
      <c r="D9" s="37"/>
      <c r="E9" s="15" t="s">
        <v>72</v>
      </c>
      <c r="F9" s="17">
        <v>7.9807845579078451</v>
      </c>
      <c r="G9" s="16">
        <f t="shared" si="0"/>
        <v>11.971176836861767</v>
      </c>
      <c r="H9" s="17">
        <v>2.8318804483188047</v>
      </c>
      <c r="I9" s="16">
        <f t="shared" si="1"/>
        <v>4.2478206724782073</v>
      </c>
      <c r="J9" s="37"/>
      <c r="K9" s="27" t="s">
        <v>73</v>
      </c>
      <c r="L9" s="19"/>
    </row>
    <row r="10" spans="1:12" x14ac:dyDescent="0.25">
      <c r="A10" s="18"/>
      <c r="B10" s="37"/>
      <c r="C10" s="37"/>
      <c r="D10" s="37"/>
      <c r="E10" s="15" t="s">
        <v>74</v>
      </c>
      <c r="F10" s="17">
        <v>10.238443337484433</v>
      </c>
      <c r="G10" s="16">
        <f t="shared" si="0"/>
        <v>15.35766500622665</v>
      </c>
      <c r="H10" s="17">
        <v>3.7801992528019923</v>
      </c>
      <c r="I10" s="16">
        <f t="shared" si="1"/>
        <v>5.6702988792029885</v>
      </c>
      <c r="J10" s="37"/>
      <c r="K10" s="37" t="s">
        <v>75</v>
      </c>
      <c r="L10" s="19"/>
    </row>
    <row r="11" spans="1:12" ht="15.75" thickBot="1" x14ac:dyDescent="0.3">
      <c r="A11" s="31" t="s">
        <v>76</v>
      </c>
      <c r="B11" s="34">
        <f>SUM(B22:C30)</f>
        <v>23694.539999999997</v>
      </c>
      <c r="C11" s="37"/>
      <c r="D11" s="37"/>
      <c r="E11" s="15" t="s">
        <v>77</v>
      </c>
      <c r="F11" s="17">
        <v>12.496102117061019</v>
      </c>
      <c r="G11" s="16">
        <f t="shared" si="0"/>
        <v>18.744153175591528</v>
      </c>
      <c r="H11" s="17">
        <v>4.5660024906600247</v>
      </c>
      <c r="I11" s="16">
        <f t="shared" si="1"/>
        <v>6.8490037359900366</v>
      </c>
      <c r="J11" s="37"/>
      <c r="K11" s="37" t="s">
        <v>53</v>
      </c>
      <c r="L11" s="19"/>
    </row>
    <row r="12" spans="1:12" x14ac:dyDescent="0.25">
      <c r="A12" s="21"/>
      <c r="B12" s="37"/>
      <c r="C12" s="37"/>
      <c r="D12" s="37"/>
      <c r="E12" s="15" t="s">
        <v>78</v>
      </c>
      <c r="F12" s="17">
        <v>14.753760896637607</v>
      </c>
      <c r="G12" s="16">
        <f t="shared" si="0"/>
        <v>22.130641344956409</v>
      </c>
      <c r="H12" s="17">
        <v>5.2509339975093399</v>
      </c>
      <c r="I12" s="16">
        <f t="shared" si="1"/>
        <v>7.8764009962640102</v>
      </c>
      <c r="J12" s="37"/>
      <c r="K12" s="49" t="s">
        <v>79</v>
      </c>
      <c r="L12" s="19"/>
    </row>
    <row r="13" spans="1:12" ht="15.75" thickBot="1" x14ac:dyDescent="0.3">
      <c r="A13" s="21"/>
      <c r="B13" s="37"/>
      <c r="C13" s="37"/>
      <c r="D13" s="37"/>
      <c r="E13" s="15" t="s">
        <v>80</v>
      </c>
      <c r="F13" s="17">
        <v>17.011419676214196</v>
      </c>
      <c r="G13" s="16">
        <f t="shared" si="0"/>
        <v>25.517129514321294</v>
      </c>
      <c r="H13" s="17">
        <v>5.6612702366127028</v>
      </c>
      <c r="I13" s="16">
        <f t="shared" si="1"/>
        <v>8.4919053549190551</v>
      </c>
      <c r="J13" s="37"/>
      <c r="K13" s="50" t="s">
        <v>81</v>
      </c>
      <c r="L13" s="19"/>
    </row>
    <row r="14" spans="1:12" ht="15.75" thickBot="1" x14ac:dyDescent="0.3">
      <c r="A14" s="35" t="s">
        <v>82</v>
      </c>
      <c r="B14" s="36">
        <f>B9+B11</f>
        <v>30722.539999999997</v>
      </c>
      <c r="C14" s="37"/>
      <c r="D14" s="37"/>
      <c r="E14" s="15" t="s">
        <v>83</v>
      </c>
      <c r="F14" s="17">
        <v>19.269078455790787</v>
      </c>
      <c r="G14" s="16">
        <f t="shared" si="0"/>
        <v>28.903617683686178</v>
      </c>
      <c r="H14" s="17">
        <v>6.2266500622665006</v>
      </c>
      <c r="I14" s="16">
        <f t="shared" si="1"/>
        <v>9.339975093399751</v>
      </c>
      <c r="J14" s="37"/>
      <c r="K14" s="50">
        <v>1</v>
      </c>
      <c r="L14" s="19"/>
    </row>
    <row r="15" spans="1:12" x14ac:dyDescent="0.25">
      <c r="A15" s="21"/>
      <c r="B15" s="41"/>
      <c r="C15" s="37"/>
      <c r="D15" s="37"/>
      <c r="E15" s="15" t="s">
        <v>84</v>
      </c>
      <c r="F15" s="17">
        <v>21.526737235367371</v>
      </c>
      <c r="G15" s="16">
        <f t="shared" si="0"/>
        <v>32.29010585305106</v>
      </c>
      <c r="H15" s="17">
        <v>6.7914072229140725</v>
      </c>
      <c r="I15" s="16">
        <f t="shared" si="1"/>
        <v>10.187110834371108</v>
      </c>
      <c r="J15" s="37"/>
      <c r="K15" s="50">
        <v>2</v>
      </c>
      <c r="L15" s="19"/>
    </row>
    <row r="16" spans="1:12" x14ac:dyDescent="0.25">
      <c r="A16" s="138" t="s">
        <v>85</v>
      </c>
      <c r="B16" s="139"/>
      <c r="C16" s="140"/>
      <c r="D16" s="45"/>
      <c r="E16" s="15" t="s">
        <v>86</v>
      </c>
      <c r="F16" s="17">
        <v>23.784396014943955</v>
      </c>
      <c r="G16" s="16">
        <f t="shared" si="0"/>
        <v>35.676594022415934</v>
      </c>
      <c r="H16" s="17">
        <v>7.7552926525529262</v>
      </c>
      <c r="I16" s="16">
        <f t="shared" si="1"/>
        <v>11.63293897882939</v>
      </c>
      <c r="J16" s="37"/>
      <c r="K16" s="50">
        <v>3</v>
      </c>
      <c r="L16" s="19"/>
    </row>
    <row r="17" spans="1:12" ht="15.75" thickBot="1" x14ac:dyDescent="0.3">
      <c r="A17" s="141"/>
      <c r="B17" s="142"/>
      <c r="C17" s="143"/>
      <c r="D17" s="45"/>
      <c r="E17" s="39"/>
      <c r="F17" s="37"/>
      <c r="G17" s="37"/>
      <c r="H17" s="37"/>
      <c r="I17" s="37"/>
      <c r="J17" s="37"/>
      <c r="K17" s="51">
        <v>4</v>
      </c>
      <c r="L17" s="19"/>
    </row>
    <row r="18" spans="1:12" x14ac:dyDescent="0.25">
      <c r="A18" s="144"/>
      <c r="B18" s="145"/>
      <c r="C18" s="146"/>
      <c r="D18" s="45"/>
      <c r="E18" s="39"/>
      <c r="F18" s="37"/>
      <c r="G18" s="37"/>
      <c r="H18" s="37"/>
      <c r="I18" s="37"/>
      <c r="J18" s="37"/>
      <c r="K18" s="26" t="s">
        <v>87</v>
      </c>
      <c r="L18" s="19"/>
    </row>
    <row r="19" spans="1:12" x14ac:dyDescent="0.25">
      <c r="A19" s="44"/>
      <c r="B19" s="45"/>
      <c r="C19" s="45"/>
      <c r="D19" s="37"/>
      <c r="E19" s="39"/>
      <c r="F19" s="137" t="s">
        <v>88</v>
      </c>
      <c r="G19" s="137"/>
      <c r="H19" s="137"/>
      <c r="I19" s="137"/>
      <c r="J19" s="37"/>
      <c r="K19" s="48" t="s">
        <v>51</v>
      </c>
      <c r="L19" s="19"/>
    </row>
    <row r="20" spans="1:12" x14ac:dyDescent="0.25">
      <c r="A20" s="21"/>
      <c r="B20" s="37"/>
      <c r="C20" s="37"/>
      <c r="D20" s="37"/>
      <c r="E20" s="39"/>
      <c r="F20" s="40">
        <v>1</v>
      </c>
      <c r="G20" s="40">
        <v>1.5</v>
      </c>
      <c r="H20" s="40">
        <v>1</v>
      </c>
      <c r="I20" s="40">
        <v>1.5</v>
      </c>
      <c r="J20" s="37"/>
      <c r="K20" s="48" t="s">
        <v>89</v>
      </c>
      <c r="L20" s="19"/>
    </row>
    <row r="21" spans="1:12" x14ac:dyDescent="0.25">
      <c r="A21" s="21"/>
      <c r="B21" s="37" t="s">
        <v>47</v>
      </c>
      <c r="C21" s="37" t="s">
        <v>70</v>
      </c>
      <c r="D21" s="37"/>
      <c r="E21" s="15" t="s">
        <v>66</v>
      </c>
      <c r="F21" s="15" t="s">
        <v>67</v>
      </c>
      <c r="G21" s="15" t="s">
        <v>67</v>
      </c>
      <c r="H21" s="15" t="s">
        <v>68</v>
      </c>
      <c r="I21" s="15" t="s">
        <v>68</v>
      </c>
      <c r="J21" s="37"/>
      <c r="K21" s="48" t="s">
        <v>70</v>
      </c>
      <c r="L21" s="19"/>
    </row>
    <row r="22" spans="1:12" x14ac:dyDescent="0.25">
      <c r="A22" s="21"/>
      <c r="B22" s="43">
        <f>IF(AND('New Construction-Sizing editing'!F11="Electricity",'New Construction-Sizing editing'!F10&lt;1000,'New Construction-Sizing editing'!F10&gt;0),F22,0)</f>
        <v>0</v>
      </c>
      <c r="C22" s="43">
        <f>IF(AND('New Construction-Sizing editing'!F11="Gas",'New Construction-Sizing editing'!F10&lt;1000,'New Construction-Sizing editing'!F10&gt;0),H22,0)</f>
        <v>0</v>
      </c>
      <c r="D22" s="37"/>
      <c r="E22" s="15" t="s">
        <v>69</v>
      </c>
      <c r="F22" s="17">
        <f t="shared" ref="F22:I30" si="2">(F8*(5.5)*(365)*(0.8))</f>
        <v>9191.340000000002</v>
      </c>
      <c r="G22" s="17">
        <f t="shared" si="2"/>
        <v>13787.010000000002</v>
      </c>
      <c r="H22" s="17">
        <f t="shared" si="2"/>
        <v>3199</v>
      </c>
      <c r="I22" s="17">
        <f t="shared" si="2"/>
        <v>4798.5000000000009</v>
      </c>
      <c r="J22" s="37"/>
      <c r="K22" s="37"/>
      <c r="L22" s="19"/>
    </row>
    <row r="23" spans="1:12" x14ac:dyDescent="0.25">
      <c r="A23" s="21"/>
      <c r="B23" s="43">
        <f>IF(AND('New Construction-Sizing editing'!F11="Electricity",'New Construction-Sizing editing'!F10&lt;1500,'New Construction-Sizing editing'!F10&gt;=1000),F23,0)</f>
        <v>0</v>
      </c>
      <c r="C23" s="43">
        <f>IF(AND('New Construction-Sizing editing'!F11="Gas",'New Construction-Sizing editing'!F10&lt;1500,'New Construction-Sizing editing'!F10&gt;=1000),H23,0)</f>
        <v>0</v>
      </c>
      <c r="D23" s="37"/>
      <c r="E23" s="15" t="s">
        <v>72</v>
      </c>
      <c r="F23" s="17">
        <f t="shared" si="2"/>
        <v>12817.14</v>
      </c>
      <c r="G23" s="17">
        <f t="shared" si="2"/>
        <v>19225.71</v>
      </c>
      <c r="H23" s="17">
        <f t="shared" si="2"/>
        <v>4548.0000000000009</v>
      </c>
      <c r="I23" s="17">
        <f t="shared" si="2"/>
        <v>6822.0000000000018</v>
      </c>
      <c r="J23" s="37"/>
      <c r="K23" s="37"/>
      <c r="L23" s="19"/>
    </row>
    <row r="24" spans="1:12" x14ac:dyDescent="0.25">
      <c r="A24" s="21"/>
      <c r="B24" s="43">
        <f>IF(AND('New Construction-Sizing editing'!F11="Electricity",'New Construction-Sizing editing'!F10&lt;2000,'New Construction-Sizing editing'!F10&gt;=1500),F24,0)</f>
        <v>0</v>
      </c>
      <c r="C24" s="43">
        <f>IF(AND('New Construction-Sizing editing'!F11="Gas",'New Construction-Sizing editing'!F10&lt;2000,'New Construction-Sizing editing'!F10=1500),H24,0)</f>
        <v>0</v>
      </c>
      <c r="D24" s="37"/>
      <c r="E24" s="15" t="s">
        <v>74</v>
      </c>
      <c r="F24" s="17">
        <f t="shared" si="2"/>
        <v>16442.940000000002</v>
      </c>
      <c r="G24" s="17">
        <f t="shared" si="2"/>
        <v>24664.410000000003</v>
      </c>
      <c r="H24" s="17">
        <f t="shared" si="2"/>
        <v>6071</v>
      </c>
      <c r="I24" s="17">
        <f t="shared" si="2"/>
        <v>9106.5</v>
      </c>
      <c r="J24" s="37"/>
      <c r="K24" s="37"/>
      <c r="L24" s="19"/>
    </row>
    <row r="25" spans="1:12" x14ac:dyDescent="0.25">
      <c r="A25" s="21"/>
      <c r="B25" s="43">
        <f>IF(AND('New Construction-Sizing editing'!F11="Electricity",'New Construction-Sizing editing'!F10&lt;2500,'New Construction-Sizing editing'!F10&gt;=2000),F25,0)</f>
        <v>0</v>
      </c>
      <c r="C25" s="43">
        <f>IF(AND('New Construction-Sizing editing'!F11="Gas",'New Construction-Sizing editing'!F10&lt;2500,'New Construction-Sizing editing'!F10&gt;=2000),H25,0)</f>
        <v>0</v>
      </c>
      <c r="D25" s="37"/>
      <c r="E25" s="15" t="s">
        <v>77</v>
      </c>
      <c r="F25" s="17">
        <f t="shared" si="2"/>
        <v>20068.739999999998</v>
      </c>
      <c r="G25" s="17">
        <f t="shared" si="2"/>
        <v>30103.109999999993</v>
      </c>
      <c r="H25" s="17">
        <f t="shared" si="2"/>
        <v>7333</v>
      </c>
      <c r="I25" s="17">
        <f t="shared" si="2"/>
        <v>10999.5</v>
      </c>
      <c r="J25" s="37"/>
      <c r="K25" s="37"/>
      <c r="L25" s="19"/>
    </row>
    <row r="26" spans="1:12" x14ac:dyDescent="0.25">
      <c r="A26" s="21"/>
      <c r="B26" s="43">
        <f>IF(AND('New Construction-Sizing editing'!F11="Electricity",'New Construction-Sizing editing'!F10&lt;3000,'New Construction-Sizing editing'!F10&gt;=2500),F26,0)</f>
        <v>23694.539999999997</v>
      </c>
      <c r="C26" s="43">
        <f>IF(AND('New Construction-Sizing editing'!F11="Gas",'New Construction-Sizing editing'!F10&lt;3000,'New Construction-Sizing editing'!F10&gt;=2500),H26,0)</f>
        <v>0</v>
      </c>
      <c r="D26" s="37"/>
      <c r="E26" s="15" t="s">
        <v>78</v>
      </c>
      <c r="F26" s="17">
        <f t="shared" si="2"/>
        <v>23694.539999999997</v>
      </c>
      <c r="G26" s="17">
        <f t="shared" si="2"/>
        <v>35541.80999999999</v>
      </c>
      <c r="H26" s="17">
        <f t="shared" si="2"/>
        <v>8433</v>
      </c>
      <c r="I26" s="17">
        <f t="shared" si="2"/>
        <v>12649.5</v>
      </c>
      <c r="J26" s="37"/>
      <c r="K26" s="37"/>
      <c r="L26" s="19"/>
    </row>
    <row r="27" spans="1:12" x14ac:dyDescent="0.25">
      <c r="A27" s="21"/>
      <c r="B27" s="43">
        <f>IF(AND('New Construction-Sizing editing'!F11="Electricity",'New Construction-Sizing editing'!F10&lt;3500,'New Construction-Sizing editing'!F10&gt;=3000),F27,0)</f>
        <v>0</v>
      </c>
      <c r="C27" s="43">
        <f>IF(AND('New Construction-Sizing editing'!F11="Gas",'New Construction-Sizing editing'!F10&lt;3500,'New Construction-Sizing editing'!F10&gt;=3000),H27,0)</f>
        <v>0</v>
      </c>
      <c r="D27" s="37"/>
      <c r="E27" s="15" t="s">
        <v>80</v>
      </c>
      <c r="F27" s="17">
        <f t="shared" si="2"/>
        <v>27320.340000000004</v>
      </c>
      <c r="G27" s="17">
        <f t="shared" si="2"/>
        <v>40980.510000000009</v>
      </c>
      <c r="H27" s="17">
        <f t="shared" si="2"/>
        <v>9092.0000000000018</v>
      </c>
      <c r="I27" s="17">
        <f t="shared" si="2"/>
        <v>13638.000000000004</v>
      </c>
      <c r="J27" s="37"/>
      <c r="K27" s="37"/>
      <c r="L27" s="19"/>
    </row>
    <row r="28" spans="1:12" x14ac:dyDescent="0.25">
      <c r="A28" s="21"/>
      <c r="B28" s="43">
        <f>IF(AND('New Construction-Sizing editing'!F11="Electricity",'New Construction-Sizing editing'!F10&lt;4000,'New Construction-Sizing editing'!F10&gt;=3500),F28,0)</f>
        <v>0</v>
      </c>
      <c r="C28" s="43">
        <f>IF(AND('New Construction-Sizing editing'!F11="Gas",'New Construction-Sizing editing'!F10&lt;4000,'New Construction-Sizing editing'!F10&gt;=3500),H28,0)</f>
        <v>0</v>
      </c>
      <c r="D28" s="37"/>
      <c r="E28" s="15" t="s">
        <v>83</v>
      </c>
      <c r="F28" s="17">
        <f t="shared" si="2"/>
        <v>30946.140000000003</v>
      </c>
      <c r="G28" s="17">
        <f t="shared" si="2"/>
        <v>46419.21</v>
      </c>
      <c r="H28" s="17">
        <f t="shared" si="2"/>
        <v>10000</v>
      </c>
      <c r="I28" s="17">
        <f t="shared" si="2"/>
        <v>15000</v>
      </c>
      <c r="J28" s="37"/>
      <c r="K28" s="37"/>
      <c r="L28" s="19"/>
    </row>
    <row r="29" spans="1:12" x14ac:dyDescent="0.25">
      <c r="A29" s="21"/>
      <c r="B29" s="43">
        <f>IF(AND('New Construction-Sizing editing'!F11="Electricity",'New Construction-Sizing editing'!F10&lt;4500,'New Construction-Sizing editing'!F10&gt;=4000),F29,0)</f>
        <v>0</v>
      </c>
      <c r="C29" s="43">
        <f>IF(AND('New Construction-Sizing editing'!F11="Gas",'New Construction-Sizing editing'!F10&lt;4500,'New Construction-Sizing editing'!F10&gt;=4000),H29,0)</f>
        <v>0</v>
      </c>
      <c r="D29" s="37"/>
      <c r="E29" s="15" t="s">
        <v>84</v>
      </c>
      <c r="F29" s="17">
        <f t="shared" si="2"/>
        <v>34571.939999999995</v>
      </c>
      <c r="G29" s="17">
        <f t="shared" si="2"/>
        <v>51857.91</v>
      </c>
      <c r="H29" s="17">
        <f t="shared" si="2"/>
        <v>10907.000000000002</v>
      </c>
      <c r="I29" s="17">
        <f t="shared" si="2"/>
        <v>16360.5</v>
      </c>
      <c r="J29" s="37"/>
      <c r="K29" s="37"/>
      <c r="L29" s="19"/>
    </row>
    <row r="30" spans="1:12" x14ac:dyDescent="0.25">
      <c r="A30" s="21"/>
      <c r="B30" s="43">
        <f>IF(AND('New Construction-Sizing editing'!F11="Electricity",'New Construction-Sizing editing'!F10&gt;=4500),F30,0)</f>
        <v>0</v>
      </c>
      <c r="C30" s="43">
        <f>IF(AND('New Construction-Sizing editing'!F11="Gas",'New Construction-Sizing editing'!F10&gt;=4500),H30,0)</f>
        <v>0</v>
      </c>
      <c r="D30" s="37"/>
      <c r="E30" s="15" t="s">
        <v>86</v>
      </c>
      <c r="F30" s="17">
        <f t="shared" si="2"/>
        <v>38197.739999999991</v>
      </c>
      <c r="G30" s="17">
        <f t="shared" si="2"/>
        <v>57296.61</v>
      </c>
      <c r="H30" s="17">
        <f t="shared" si="2"/>
        <v>12455</v>
      </c>
      <c r="I30" s="17">
        <f t="shared" si="2"/>
        <v>18682.5</v>
      </c>
      <c r="J30" s="37"/>
      <c r="K30" s="37"/>
      <c r="L30" s="19"/>
    </row>
    <row r="31" spans="1:12" ht="15.75" thickBot="1" x14ac:dyDescent="0.3">
      <c r="A31" s="22"/>
      <c r="B31" s="23"/>
      <c r="C31" s="23"/>
      <c r="D31" s="23"/>
      <c r="E31" s="23"/>
      <c r="F31" s="23"/>
      <c r="G31" s="23"/>
      <c r="H31" s="23"/>
      <c r="I31" s="23"/>
      <c r="J31" s="23"/>
      <c r="K31" s="23"/>
      <c r="L31" s="24"/>
    </row>
    <row r="35" spans="5:7" ht="15.75" thickBot="1" x14ac:dyDescent="0.3"/>
    <row r="36" spans="5:7" ht="15.75" thickBot="1" x14ac:dyDescent="0.3">
      <c r="E36" s="119" t="s">
        <v>90</v>
      </c>
      <c r="F36" s="120"/>
      <c r="G36" s="121"/>
    </row>
    <row r="37" spans="5:7" ht="15.75" thickBot="1" x14ac:dyDescent="0.3">
      <c r="E37" s="104" t="s">
        <v>91</v>
      </c>
      <c r="F37" s="105"/>
      <c r="G37" s="106"/>
    </row>
    <row r="38" spans="5:7" x14ac:dyDescent="0.25">
      <c r="E38" s="122" t="e">
        <f>#REF!/12</f>
        <v>#REF!</v>
      </c>
      <c r="F38" s="123"/>
      <c r="G38" s="124"/>
    </row>
    <row r="39" spans="5:7" ht="15.75" thickBot="1" x14ac:dyDescent="0.3">
      <c r="E39" s="125" t="s">
        <v>92</v>
      </c>
      <c r="F39" s="126"/>
      <c r="G39" s="127"/>
    </row>
  </sheetData>
  <mergeCells count="10">
    <mergeCell ref="E36:G36"/>
    <mergeCell ref="E37:G37"/>
    <mergeCell ref="E38:G38"/>
    <mergeCell ref="E39:G39"/>
    <mergeCell ref="A1:L2"/>
    <mergeCell ref="D3:H3"/>
    <mergeCell ref="A3:B3"/>
    <mergeCell ref="F4:I4"/>
    <mergeCell ref="F19:I19"/>
    <mergeCell ref="A16:C18"/>
  </mergeCells>
  <dataValidations count="1">
    <dataValidation type="list" allowBlank="1" showInputMessage="1" showErrorMessage="1" sqref="K19:K21" xr:uid="{67EBDB25-294F-44A1-AF85-BE5B20E7E193}">
      <formula1>$S$20:$S$22</formula1>
    </dataValidation>
  </dataValidations>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60043B604E38468959C11B0C6BA0E0" ma:contentTypeVersion="15" ma:contentTypeDescription="Create a new document." ma:contentTypeScope="" ma:versionID="d687136c9292d0730dc73d5b8a5abe44">
  <xsd:schema xmlns:xsd="http://www.w3.org/2001/XMLSchema" xmlns:xs="http://www.w3.org/2001/XMLSchema" xmlns:p="http://schemas.microsoft.com/office/2006/metadata/properties" xmlns:ns2="6c77b368-a697-476f-ae14-c0056be7b978" xmlns:ns3="88ea2670-9bce-46fd-be6f-038695d92170" targetNamespace="http://schemas.microsoft.com/office/2006/metadata/properties" ma:root="true" ma:fieldsID="c62311129b12a692408f5311c4534bad" ns2:_="" ns3:_="">
    <xsd:import namespace="6c77b368-a697-476f-ae14-c0056be7b978"/>
    <xsd:import namespace="88ea2670-9bce-46fd-be6f-038695d921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77b368-a697-476f-ae14-c0056be7b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860616-5fb2-466f-a6a0-075f1392092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ea2670-9bce-46fd-be6f-038695d9217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31f7935-496b-4dc5-ac3b-d253a5b0fb66}" ma:internalName="TaxCatchAll" ma:showField="CatchAllData" ma:web="88ea2670-9bce-46fd-be6f-038695d921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ea2670-9bce-46fd-be6f-038695d92170">
      <UserInfo>
        <DisplayName>Steve Smith</DisplayName>
        <AccountId>32</AccountId>
        <AccountType/>
      </UserInfo>
      <UserInfo>
        <DisplayName>Cassie Klausner</DisplayName>
        <AccountId>31</AccountId>
        <AccountType/>
      </UserInfo>
    </SharedWithUsers>
    <TaxCatchAll xmlns="88ea2670-9bce-46fd-be6f-038695d92170" xsi:nil="true"/>
    <lcf76f155ced4ddcb4097134ff3c332f xmlns="6c77b368-a697-476f-ae14-c0056be7b97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E5BC3-83FB-4945-9A5F-CDC07AA38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77b368-a697-476f-ae14-c0056be7b978"/>
    <ds:schemaRef ds:uri="88ea2670-9bce-46fd-be6f-038695d921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39970D-F5CE-4833-9757-F403CBE10402}">
  <ds:schemaRefs>
    <ds:schemaRef ds:uri="http://schemas.microsoft.com/office/2006/metadata/properties"/>
    <ds:schemaRef ds:uri="http://schemas.microsoft.com/office/infopath/2007/PartnerControls"/>
    <ds:schemaRef ds:uri="88ea2670-9bce-46fd-be6f-038695d92170"/>
    <ds:schemaRef ds:uri="6c77b368-a697-476f-ae14-c0056be7b978"/>
  </ds:schemaRefs>
</ds:datastoreItem>
</file>

<file path=customXml/itemProps3.xml><?xml version="1.0" encoding="utf-8"?>
<ds:datastoreItem xmlns:ds="http://schemas.openxmlformats.org/officeDocument/2006/customXml" ds:itemID="{63C8B965-2905-4D65-925E-78C1025B4D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ROI Tool</vt:lpstr>
      <vt:lpstr>New Construction-Sizing editing</vt:lpstr>
      <vt:lpstr>Background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Clifford Field</dc:creator>
  <cp:keywords/>
  <dc:description/>
  <cp:lastModifiedBy>Alex Motler</cp:lastModifiedBy>
  <cp:revision/>
  <dcterms:created xsi:type="dcterms:W3CDTF">2023-04-05T21:43:58Z</dcterms:created>
  <dcterms:modified xsi:type="dcterms:W3CDTF">2023-11-27T15:05:54Z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0x0101007060043B604E38468959C11B0C6BA0E0</vt:lpwstr>
  </property>
  <property fmtid="{D5CDD505-2E9C-101B-9397-08002B2CF9AE}" pid="3" name="MediaServiceImageTags">
    <vt:lpwstr/>
  </property>
</Properties>
</file>